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декабрь 2024г." sheetId="3" r:id="rId1"/>
    <sheet name="БЭУ за декабрь 2024г." sheetId="3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28" i="3"/>
  <c r="G21" i="3"/>
  <c r="G20" i="3"/>
  <c r="G22" i="3"/>
  <c r="G100" i="3"/>
  <c r="G99" i="3"/>
  <c r="G98" i="3"/>
  <c r="G94" i="3"/>
  <c r="G92" i="3"/>
  <c r="G90" i="3"/>
  <c r="G26" i="3"/>
  <c r="G107" i="3"/>
  <c r="G106" i="3"/>
  <c r="G105" i="3"/>
  <c r="G104" i="3"/>
  <c r="G24" i="3"/>
  <c r="G17" i="3" l="1"/>
  <c r="G16" i="3"/>
  <c r="G96" i="3"/>
  <c r="G15" i="3"/>
  <c r="G43" i="3"/>
  <c r="G87" i="3"/>
  <c r="G69" i="3"/>
  <c r="G68" i="3"/>
  <c r="G19" i="3"/>
  <c r="G18" i="3"/>
  <c r="G85" i="3"/>
  <c r="G84" i="3"/>
  <c r="G53" i="3"/>
  <c r="G52" i="3"/>
  <c r="G47" i="3"/>
  <c r="G46" i="3"/>
  <c r="G45" i="3"/>
  <c r="G39" i="3"/>
  <c r="G38" i="3"/>
  <c r="G51" i="3"/>
  <c r="G49" i="3"/>
  <c r="G82" i="3"/>
  <c r="G81" i="3"/>
  <c r="G80" i="3"/>
  <c r="G37" i="3"/>
  <c r="G36" i="3"/>
  <c r="G78" i="3"/>
  <c r="G77" i="3"/>
  <c r="G75" i="3"/>
  <c r="G74" i="3"/>
  <c r="G73" i="3"/>
  <c r="G72" i="3"/>
  <c r="G71" i="3"/>
  <c r="G35" i="3"/>
  <c r="G34" i="3"/>
  <c r="G66" i="3"/>
  <c r="G65" i="3"/>
  <c r="G13" i="3"/>
  <c r="G12" i="3"/>
  <c r="G108" i="34"/>
  <c r="F108" i="34"/>
  <c r="H108" i="34" s="1"/>
  <c r="G107" i="34"/>
  <c r="F107" i="34"/>
  <c r="H107" i="34" s="1"/>
  <c r="H105" i="34"/>
  <c r="G105" i="34"/>
  <c r="F105" i="34"/>
  <c r="G104" i="34"/>
  <c r="H104" i="34" s="1"/>
  <c r="F104" i="34"/>
  <c r="G103" i="34"/>
  <c r="F103" i="34"/>
  <c r="H103" i="34" s="1"/>
  <c r="G101" i="34"/>
  <c r="F101" i="34"/>
  <c r="H101" i="34" s="1"/>
  <c r="H99" i="34"/>
  <c r="G99" i="34"/>
  <c r="F99" i="34"/>
  <c r="G97" i="34"/>
  <c r="H97" i="34" s="1"/>
  <c r="F97" i="34"/>
  <c r="G96" i="34"/>
  <c r="F96" i="34"/>
  <c r="H96" i="34" s="1"/>
  <c r="G94" i="34"/>
  <c r="F94" i="34"/>
  <c r="H94" i="34" s="1"/>
  <c r="H92" i="34"/>
  <c r="G92" i="34"/>
  <c r="F92" i="34"/>
  <c r="G90" i="34"/>
  <c r="H90" i="34" s="1"/>
  <c r="F90" i="34"/>
  <c r="G89" i="34"/>
  <c r="F89" i="34"/>
  <c r="H89" i="34" s="1"/>
  <c r="G87" i="34"/>
  <c r="F87" i="34"/>
  <c r="H87" i="34" s="1"/>
  <c r="H86" i="34"/>
  <c r="G86" i="34"/>
  <c r="F86" i="34"/>
  <c r="G85" i="34"/>
  <c r="H85" i="34" s="1"/>
  <c r="F85" i="34"/>
  <c r="F83" i="34"/>
  <c r="F81" i="34"/>
  <c r="H79" i="34"/>
  <c r="G79" i="34"/>
  <c r="F79" i="34"/>
  <c r="G78" i="34"/>
  <c r="H78" i="34" s="1"/>
  <c r="F78" i="34"/>
  <c r="F77" i="34"/>
  <c r="G76" i="34"/>
  <c r="H76" i="34" s="1"/>
  <c r="F76" i="34"/>
  <c r="G75" i="34"/>
  <c r="F75" i="34"/>
  <c r="H75" i="34" s="1"/>
  <c r="G73" i="34"/>
  <c r="F73" i="34"/>
  <c r="H73" i="34" s="1"/>
  <c r="H72" i="34"/>
  <c r="G72" i="34"/>
  <c r="F72" i="34"/>
  <c r="G70" i="34"/>
  <c r="H70" i="34" s="1"/>
  <c r="F70" i="34"/>
  <c r="F69" i="34"/>
  <c r="G68" i="34"/>
  <c r="H68" i="34" s="1"/>
  <c r="F68" i="34"/>
  <c r="G66" i="34"/>
  <c r="F66" i="34"/>
  <c r="H66" i="34" s="1"/>
  <c r="G65" i="34"/>
  <c r="F65" i="34"/>
  <c r="H65" i="34" s="1"/>
  <c r="H64" i="34"/>
  <c r="G64" i="34"/>
  <c r="F64" i="34"/>
  <c r="G63" i="34"/>
  <c r="H63" i="34" s="1"/>
  <c r="F63" i="34"/>
  <c r="G62" i="34"/>
  <c r="F62" i="34"/>
  <c r="H62" i="34" s="1"/>
  <c r="G61" i="34"/>
  <c r="F61" i="34"/>
  <c r="H61" i="34" s="1"/>
  <c r="H60" i="34"/>
  <c r="G60" i="34"/>
  <c r="F60" i="34"/>
  <c r="G59" i="34"/>
  <c r="H59" i="34" s="1"/>
  <c r="F59" i="34"/>
  <c r="G58" i="34"/>
  <c r="F58" i="34"/>
  <c r="H58" i="34" s="1"/>
  <c r="G57" i="34"/>
  <c r="F57" i="34"/>
  <c r="H57" i="34" s="1"/>
  <c r="H56" i="34"/>
  <c r="G56" i="34"/>
  <c r="F56" i="34"/>
  <c r="G49" i="34"/>
  <c r="H49" i="34" s="1"/>
  <c r="G47" i="34"/>
  <c r="H47" i="34" s="1"/>
  <c r="G44" i="34"/>
  <c r="H44" i="34" s="1"/>
  <c r="G43" i="34"/>
  <c r="H43" i="34" s="1"/>
  <c r="G42" i="34"/>
  <c r="H42" i="34" s="1"/>
  <c r="G40" i="34"/>
  <c r="H40" i="34" s="1"/>
  <c r="G39" i="34"/>
  <c r="H39" i="34" s="1"/>
  <c r="G37" i="34"/>
  <c r="H37" i="34" s="1"/>
  <c r="G34" i="34"/>
  <c r="H34" i="34" s="1"/>
  <c r="G33" i="34"/>
  <c r="H33" i="34" s="1"/>
  <c r="G31" i="34"/>
  <c r="H31" i="34" s="1"/>
  <c r="G30" i="34"/>
  <c r="H30" i="34" s="1"/>
  <c r="G29" i="34"/>
  <c r="H29" i="34" s="1"/>
  <c r="G28" i="34"/>
  <c r="H28" i="34" s="1"/>
  <c r="H27" i="34"/>
  <c r="H26" i="34"/>
  <c r="G26" i="34"/>
  <c r="G25" i="34"/>
  <c r="H25" i="34" s="1"/>
  <c r="H24" i="34"/>
  <c r="G24" i="34"/>
  <c r="G23" i="34"/>
  <c r="H23" i="34" s="1"/>
  <c r="H21" i="34"/>
  <c r="G21" i="34"/>
  <c r="G20" i="34"/>
  <c r="H20" i="34" s="1"/>
  <c r="H19" i="34"/>
  <c r="G19" i="34"/>
  <c r="G17" i="34"/>
  <c r="H17" i="34" s="1"/>
  <c r="H16" i="34"/>
  <c r="G16" i="34"/>
  <c r="G15" i="34"/>
  <c r="H15" i="34" s="1"/>
  <c r="H14" i="34"/>
  <c r="G14" i="34"/>
  <c r="G13" i="34"/>
  <c r="H13" i="34" s="1"/>
  <c r="H12" i="34"/>
  <c r="G12" i="34"/>
  <c r="G11" i="34"/>
  <c r="H11" i="34" s="1"/>
  <c r="G23" i="3" l="1"/>
  <c r="G50" i="3" l="1"/>
  <c r="H64" i="3" l="1"/>
  <c r="G102" i="3" l="1"/>
  <c r="G93" i="3"/>
  <c r="G76" i="3"/>
  <c r="H51" i="3"/>
  <c r="G59" i="3" l="1"/>
  <c r="H35" i="3" l="1"/>
  <c r="G48" i="3" l="1"/>
  <c r="N47" i="3" l="1"/>
  <c r="N46" i="3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<sst xmlns="http://schemas.openxmlformats.org/spreadsheetml/2006/main" count="492" uniqueCount="312">
  <si>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</si>
  <si>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</si>
  <si>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</si>
  <si>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</si>
  <si>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</si>
  <si>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</si>
  <si>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</si>
  <si>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</si>
  <si>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</si>
  <si>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</si>
  <si>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</si>
  <si>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</si>
  <si>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</si>
  <si>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</si>
  <si>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</si>
  <si>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</si>
  <si>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</si>
  <si>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</si>
  <si>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</si>
  <si>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</si>
  <si>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</si>
  <si>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</si>
  <si>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</si>
  <si>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</si>
  <si>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</si>
  <si>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</si>
  <si>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</si>
  <si>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</si>
  <si>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</si>
  <si>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</si>
  <si>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</si>
  <si>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</si>
  <si>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</si>
  <si>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</si>
  <si>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</si>
  <si>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</si>
  <si>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</si>
  <si>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</si>
  <si>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</si>
  <si>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</si>
  <si>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</si>
  <si>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</si>
  <si>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</si>
  <si>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</si>
  <si>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</si>
  <si>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</si>
  <si>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</si>
  <si>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</si>
  <si>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</si>
  <si>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</si>
  <si>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</si>
  <si>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</si>
  <si>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</si>
  <si>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</si>
  <si>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</si>
  <si>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</si>
  <si>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</si>
  <si>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</si>
  <si>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</si>
  <si>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</si>
  <si>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</si>
  <si>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</si>
  <si>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</si>
  <si>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</si>
  <si>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</si>
  <si>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</si>
  <si>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</si>
  <si>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</si>
  <si>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</si>
  <si>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</si>
  <si>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</si>
  <si>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</si>
  <si>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</si>
  <si>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</si>
  <si>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</si>
  <si>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</si>
  <si>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</si>
  <si>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</si>
  <si>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</si>
  <si>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</si>
  <si>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</si>
  <si>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</si>
  <si>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</si>
  <si>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</si>
  <si>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</si>
  <si>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</si>
  <si>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</si>
  <si>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</si>
  <si>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</si>
  <si>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</si>
  <si>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</si>
  <si>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</si>
  <si>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</si>
  <si>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</si>
  <si>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</si>
  <si>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</si>
  <si>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</si>
  <si>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</si>
  <si>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</si>
  <si>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</si>
  <si>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</si>
  <si>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</si>
  <si>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</si>
  <si>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</si>
  <si>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</si>
  <si>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</si>
  <si>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</si>
  <si>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</si>
  <si>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</si>
  <si>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</si>
  <si>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</si>
  <si>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</si>
  <si>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</si>
  <si>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</si>
  <si>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</si>
  <si>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</si>
  <si>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</si>
  <si>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</si>
  <si>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</si>
  <si>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</si>
  <si>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</si>
  <si>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</si>
  <si>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</si>
  <si>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</si>
  <si>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</si>
  <si>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</si>
  <si>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</si>
  <si>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</si>
  <si>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</si>
  <si>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</si>
  <si>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</si>
  <si>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</si>
  <si>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</si>
  <si>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</si>
  <si>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</si>
  <si>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</si>
  <si>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</si>
  <si>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</si>
  <si>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</si>
  <si>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</si>
  <si>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</si>
  <si>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</si>
  <si>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</si>
  <si>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</si>
  <si>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</si>
  <si>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</si>
  <si>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</si>
  <si>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</si>
  <si>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</si>
  <si>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</si>
  <si>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</si>
  <si>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</si>
  <si>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</si>
  <si>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</si>
  <si>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</si>
  <si>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</si>
  <si>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</si>
  <si>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</si>
  <si>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</si>
  <si>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</si>
  <si>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</si>
  <si>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</si>
  <si>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</si>
  <si>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</si>
  <si>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</si>
  <si>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</si>
  <si>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</si>
  <si>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</si>
  <si>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</si>
  <si>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</si>
  <si>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</si>
  <si>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</si>
  <si>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</si>
  <si>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</si>
  <si>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</si>
  <si>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</si>
  <si>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</si>
  <si>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</si>
  <si>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</si>
  <si>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</si>
  <si>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</si>
  <si>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</si>
  <si>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</si>
  <si>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</si>
  <si>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</si>
  <si>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</si>
  <si>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</si>
  <si>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</si>
  <si>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</si>
  <si>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</si>
  <si>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</si>
  <si>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</si>
  <si>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</si>
  <si>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</si>
  <si>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</si>
  <si>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</si>
  <si>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</si>
  <si>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</si>
  <si>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</si>
  <si>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</si>
  <si>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</si>
  <si>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</si>
  <si>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</si>
  <si>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</si>
  <si>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</si>
  <si>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</si>
  <si>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</si>
  <si>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</si>
  <si>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</si>
  <si>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</si>
  <si>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</si>
  <si>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</si>
  <si>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</si>
  <si>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</si>
  <si>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</si>
  <si>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</si>
  <si>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</si>
  <si>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</si>
  <si>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</si>
  <si>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</si>
  <si>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</si>
  <si>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</si>
  <si>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</si>
  <si>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</si>
  <si>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</si>
  <si>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</si>
  <si>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</si>
  <si>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</si>
  <si>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</si>
  <si>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</si>
  <si>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</si>
  <si>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</si>
  <si>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</si>
  <si>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</si>
  <si>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</si>
  <si>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</si>
  <si>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</si>
  <si>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</si>
  <si>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</si>
  <si>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</si>
  <si>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</si>
  <si>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</si>
  <si>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</si>
  <si>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</si>
  <si>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</si>
  <si>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</si>
  <si>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</si>
  <si>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</si>
  <si>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</si>
  <si>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</si>
  <si>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</si>
  <si>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</si>
  <si>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</si>
  <si>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</si>
  <si>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</si>
  <si>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</si>
  <si>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</si>
  <si>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</si>
  <si>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</si>
  <si>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</si>
  <si>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</si>
  <si>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</si>
  <si>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</si>
  <si>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</si>
  <si>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</si>
  <si>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</si>
  <si>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</si>
  <si>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</si>
  <si>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</si>
  <si>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</si>
  <si>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</si>
  <si>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</si>
  <si>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</si>
  <si>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</si>
  <si>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</si>
  <si>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</si>
  <si>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</si>
  <si>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</si>
  <si>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</si>
  <si>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</si>
  <si>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</si>
  <si>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</si>
  <si>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</si>
  <si>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</si>
  <si>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</si>
  <si>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</si>
  <si>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</si>
  <si>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</si>
  <si>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</si>
  <si>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</si>
  <si>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</si>
  <si>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</si>
  <si>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</si>
  <si>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</si>
  <si>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</si>
  <si>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</si>
  <si>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</si>
  <si>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</si>
  <si>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</si>
  <si>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</si>
  <si>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</si>
  <si>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</si>
  <si>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</si>
  <si>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</si>
  <si>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</si>
  <si>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</si>
  <si>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</si>
  <si>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</si>
  <si>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</si>
  <si>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</si>
  <si>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Декабрь 2024 года</t>
  </si>
  <si>
    <t>за декабрь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</si>
</sst>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165" fontId="2" fillId="0" borderId="31" xfId="1" applyNumberFormat="1" applyFont="1" applyFill="1" applyBorder="1" applyAlignment="1">
      <alignment horizontal="right"/>
    </xf>
    <xf numFmtId="169" fontId="4" fillId="2" borderId="24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92" zoomScale="85" zoomScaleNormal="85" zoomScaleSheetLayoutView="135" workbookViewId="0">
      <selection activeCell="V109" sqref="V109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7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7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3" t="s">
        <v>311</v>
      </c>
      <c r="H5" s="173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4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5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744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64">
        <f>(10661112+347700)/H9/1000</f>
        <v>14.796790322580646</v>
      </c>
      <c r="H12" s="108">
        <f>F12/1000-G12</f>
        <v>48.203209677419352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64">
        <f>(10880364+175680)/H9/1000</f>
        <v>14.860274193548387</v>
      </c>
      <c r="H13" s="108">
        <f>F13/1000-G13</f>
        <v>48.139725806451615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64">
        <f>279488/H9/1000</f>
        <v>0.37565591397849457</v>
      </c>
      <c r="H15" s="108">
        <f t="shared" ref="H15:H21" si="0">F15/1000-G15</f>
        <v>5.9243440860215051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64">
        <f>757645/H9/1000</f>
        <v>1.0183400537634408</v>
      </c>
      <c r="H16" s="108">
        <f t="shared" si="0"/>
        <v>14.98165994623656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64">
        <f>526669/H9/1000</f>
        <v>0.70788844086021507</v>
      </c>
      <c r="H17" s="108">
        <f t="shared" si="0"/>
        <v>15.292111559139785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64">
        <f>311652/H9/1000</f>
        <v>0.41888709677419356</v>
      </c>
      <c r="H18" s="108">
        <f t="shared" si="0"/>
        <v>15.581112903225806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64">
        <f>272016/H9/1000</f>
        <v>0.36561290322580647</v>
      </c>
      <c r="H19" s="108">
        <f t="shared" si="0"/>
        <v>15.634387096774194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64">
        <f>2723600/H9/1000</f>
        <v>3.6607526881720434</v>
      </c>
      <c r="H20" s="108">
        <f t="shared" si="0"/>
        <v>36.339247311827954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64">
        <f>912120/H9/1000</f>
        <v>1.225967741935484</v>
      </c>
      <c r="H21" s="108">
        <f t="shared" si="0"/>
        <v>38.774032258064516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64">
        <f>(128260+0-1238622)/H9/1000</f>
        <v>-1.4924220430107527</v>
      </c>
      <c r="H22" s="108">
        <f>F22/1000-G22</f>
        <v>11.492422043010752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64">
        <f>(0+0-0)/H9/1000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64">
        <f>(1079210)/H9/1000</f>
        <v>1.4505510752688171</v>
      </c>
      <c r="H24" s="108">
        <f>F24/1000-G24</f>
        <v>4.8494489247311829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64">
        <f>143252/H9/1000</f>
        <v>0.19254301075268815</v>
      </c>
      <c r="H26" s="108">
        <f>F26/1000-G26</f>
        <v>0.8074569892473118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64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64">
        <f>32952/H9/1000</f>
        <v>4.4290322580645157E-2</v>
      </c>
      <c r="H28" s="108">
        <f>F28/1000-G28</f>
        <v>0.95570967741935486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64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64">
        <f>37065/H9/1000</f>
        <v>4.9818548387096775E-2</v>
      </c>
      <c r="H30" s="108">
        <f>F30/1000-G30</f>
        <v>6.2501814516129031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64">
        <f>(13120800)/H9/1000</f>
        <v>17.635483870967743</v>
      </c>
      <c r="H34" s="108">
        <f>F34/1000-G34</f>
        <v>7.3645161290322569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64">
        <f>(17243292)/H9/1000</f>
        <v>23.176467741935486</v>
      </c>
      <c r="H35" s="108">
        <f>F35/1000-G35</f>
        <v>1.8235322580645139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64">
        <f>4313760/H9/1000</f>
        <v>5.7980645161290321</v>
      </c>
      <c r="H36" s="108">
        <f t="shared" ref="H36:H41" si="1">F36/1000-G36</f>
        <v>34.201935483870969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64">
        <f>2972904/H9/1000</f>
        <v>3.9958387096774195</v>
      </c>
      <c r="H37" s="108">
        <f t="shared" si="1"/>
        <v>36.004161290322578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64">
        <f>6963792/H9/1000</f>
        <v>9.3599354838709683</v>
      </c>
      <c r="H38" s="108">
        <f t="shared" si="1"/>
        <v>10.640064516129032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64">
        <f>4363216/H9/1000</f>
        <v>5.8645376344086024</v>
      </c>
      <c r="H39" s="108">
        <f t="shared" si="1"/>
        <v>14.135462365591398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64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64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64">
        <f>260436/H9/1000</f>
        <v>0.35004838709677422</v>
      </c>
      <c r="H43" s="108">
        <f>F43/1000-G43</f>
        <v>5.9499516129032255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64">
        <f>1293570/H9/1000</f>
        <v>1.7386693548387098</v>
      </c>
      <c r="H45" s="108">
        <f>F45/1000-G45</f>
        <v>4.5613306451612896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64">
        <f>8129/H9/1000</f>
        <v>1.0926075268817203E-2</v>
      </c>
      <c r="H46" s="108">
        <f t="shared" ref="H46:H53" si="2">F46/1000-G46</f>
        <v>2.4890739247311826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64">
        <f>378511/H9/1000</f>
        <v>0.50875134408602152</v>
      </c>
      <c r="H47" s="108">
        <f t="shared" si="2"/>
        <v>5.7912486559139786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64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64">
        <f>555056/H9/1000</f>
        <v>0.74604301075268808</v>
      </c>
      <c r="H49" s="108">
        <f t="shared" si="2"/>
        <v>1.7539569892473119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64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64">
        <f>1431465/H9/1000</f>
        <v>1.9240120967741936</v>
      </c>
      <c r="H51" s="108">
        <f>F51/1000-G51</f>
        <v>-0.32401209677419351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64">
        <f>(34643)/H9/1000</f>
        <v>4.6563172043010755E-2</v>
      </c>
      <c r="H52" s="108">
        <f t="shared" si="2"/>
        <v>0.20343682795698925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9">
        <f>(19400)/H9/1000</f>
        <v>2.6075268817204299E-2</v>
      </c>
      <c r="H53" s="118">
        <f t="shared" si="2"/>
        <v>0.60392473118279566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6" t="s">
        <v>231</v>
      </c>
      <c r="H57" s="176"/>
    </row>
    <row r="58" spans="1:14" x14ac:dyDescent="0.3">
      <c r="B58" s="177" t="s">
        <v>232</v>
      </c>
      <c r="C58" s="178"/>
      <c r="D58" s="178"/>
      <c r="E58" s="178"/>
      <c r="F58" s="178"/>
      <c r="G58" s="178"/>
      <c r="H58" s="178"/>
    </row>
    <row r="59" spans="1:14" ht="18" x14ac:dyDescent="0.35">
      <c r="B59" s="124"/>
      <c r="C59" s="125"/>
      <c r="D59" s="124" t="s">
        <v>233</v>
      </c>
      <c r="E59" s="121"/>
      <c r="G59" s="179" t="str">
        <f>G5</f>
        <v>за декабрь 2024г.</v>
      </c>
      <c r="H59" s="179"/>
    </row>
    <row r="60" spans="1:14" x14ac:dyDescent="0.3">
      <c r="A60" s="170" t="s">
        <v>139</v>
      </c>
      <c r="B60" s="170" t="s">
        <v>234</v>
      </c>
      <c r="C60" s="126" t="s">
        <v>235</v>
      </c>
      <c r="D60" s="170" t="s">
        <v>236</v>
      </c>
      <c r="E60" s="126" t="s">
        <v>237</v>
      </c>
      <c r="F60" s="127" t="s">
        <v>238</v>
      </c>
      <c r="G60" s="170" t="s">
        <v>239</v>
      </c>
      <c r="H60" s="128" t="s">
        <v>240</v>
      </c>
    </row>
    <row r="61" spans="1:14" x14ac:dyDescent="0.3">
      <c r="A61" s="171"/>
      <c r="B61" s="171"/>
      <c r="C61" s="129" t="s">
        <v>241</v>
      </c>
      <c r="D61" s="171"/>
      <c r="E61" s="129" t="s">
        <v>242</v>
      </c>
      <c r="F61" s="130" t="s">
        <v>243</v>
      </c>
      <c r="G61" s="172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744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64">
        <f>4045800/H64/1000</f>
        <v>5.4379032258064521</v>
      </c>
      <c r="H65" s="142">
        <f>F65-G65</f>
        <v>51.062096774193549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64">
        <f>7952472/H64/1000</f>
        <v>10.688806451612903</v>
      </c>
      <c r="H66" s="142">
        <f t="shared" ref="H66:H107" si="3">F66-G66</f>
        <v>45.811193548387095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64">
        <f>(6050000-2030000)/H64/1000</f>
        <v>5.403225806451613</v>
      </c>
      <c r="H68" s="142">
        <f t="shared" si="3"/>
        <v>51.096774193548384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64">
        <f>(7799000-2440000)/H64/1000</f>
        <v>7.202956989247312</v>
      </c>
      <c r="H69" s="142">
        <f t="shared" si="3"/>
        <v>49.297043010752688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64">
        <f>116781/H64/1000</f>
        <v>0.15696370967741935</v>
      </c>
      <c r="H71" s="142">
        <f t="shared" si="3"/>
        <v>11.24303629032258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64">
        <f>61379/H64/1000</f>
        <v>8.2498655913978494E-2</v>
      </c>
      <c r="H72" s="142">
        <f t="shared" si="3"/>
        <v>14.317501344086022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64">
        <f>554180/H64/1000</f>
        <v>0.74486559139784947</v>
      </c>
      <c r="H73" s="142">
        <f t="shared" si="3"/>
        <v>10.655134408602152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64">
        <f>1426642/H64/1000</f>
        <v>1.917529569892473</v>
      </c>
      <c r="H74" s="142">
        <f t="shared" si="3"/>
        <v>15.982470430107526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64">
        <f>945914/H64/1000</f>
        <v>1.2713897849462366</v>
      </c>
      <c r="H75" s="142">
        <f t="shared" si="3"/>
        <v>16.628610215053762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64">
        <f>0/H64/1000</f>
        <v>0</v>
      </c>
      <c r="H76" s="142">
        <f t="shared" si="3"/>
        <v>17.899999999999999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64">
        <f>310275/H64/1000</f>
        <v>0.41703629032258066</v>
      </c>
      <c r="H77" s="142">
        <f t="shared" si="3"/>
        <v>17.482963709677417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64">
        <f>388994/H64/1000</f>
        <v>0.52284139784946237</v>
      </c>
      <c r="H78" s="142">
        <f t="shared" si="3"/>
        <v>17.377158602150537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64">
        <f>285589/H64/1000</f>
        <v>0.38385618279569894</v>
      </c>
      <c r="H80" s="142">
        <f t="shared" si="3"/>
        <v>9.1161438172043017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64">
        <f>88407/H64/1000</f>
        <v>0.11882661290322581</v>
      </c>
      <c r="H81" s="142">
        <f t="shared" si="3"/>
        <v>9.3811733870967746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64">
        <f>331905/H64/1000</f>
        <v>0.44610887096774193</v>
      </c>
      <c r="H82" s="142">
        <f t="shared" si="3"/>
        <v>10.953891129032259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64">
        <f>107730/H64/1000</f>
        <v>0.1447983870967742</v>
      </c>
      <c r="H84" s="142">
        <f t="shared" si="3"/>
        <v>20.555201612903225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64">
        <f>2110080/H64/1000</f>
        <v>2.8361290322580643</v>
      </c>
      <c r="H85" s="142">
        <f t="shared" si="3"/>
        <v>17.863870967741935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64">
        <f>344380/H64/1000</f>
        <v>0.46287634408602152</v>
      </c>
      <c r="H87" s="142">
        <f t="shared" si="3"/>
        <v>10.937123655913979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64">
        <f>205064/H64/1000</f>
        <v>0.27562365591397847</v>
      </c>
      <c r="H90" s="142">
        <f t="shared" si="3"/>
        <v>14.124376344086022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64">
        <f>1324219/H64/1000</f>
        <v>1.779864247311828</v>
      </c>
      <c r="H92" s="142">
        <f t="shared" si="3"/>
        <v>54.720135752688172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64">
        <f>282294/H64/1000</f>
        <v>0.3794274193548387</v>
      </c>
      <c r="H93" s="142">
        <f t="shared" si="3"/>
        <v>64.62057258064516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64">
        <f>1315217/H64/1000</f>
        <v>1.7677647849462366</v>
      </c>
      <c r="H94" s="142">
        <f t="shared" si="3"/>
        <v>9.6322352150537647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64">
        <f>232244/H64/1000</f>
        <v>0.31215591397849457</v>
      </c>
      <c r="H96" s="142">
        <f t="shared" si="3"/>
        <v>11.087844086021505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64">
        <f>40068/H64/1000</f>
        <v>5.3854838709677416E-2</v>
      </c>
      <c r="H98" s="142">
        <f t="shared" si="3"/>
        <v>56.446145161290325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64">
        <f>(1189870)/H64/1000</f>
        <v>1.5992876344086022</v>
      </c>
      <c r="H99" s="142">
        <f t="shared" si="3"/>
        <v>54.900712365591396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64">
        <f>170961/H64/1000</f>
        <v>0.22978629032258063</v>
      </c>
      <c r="H100" s="142">
        <f t="shared" si="3"/>
        <v>11.170213709677419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64">
        <f>0/H64/1000</f>
        <v>0</v>
      </c>
      <c r="H102" s="142">
        <f t="shared" si="3"/>
        <v>17.899999999999999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64">
        <f>-1081/H64/1000</f>
        <v>-1.4529569892473117E-3</v>
      </c>
      <c r="H104" s="142">
        <f t="shared" si="3"/>
        <v>14.401452956989248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64">
        <f>37548/H64/1000</f>
        <v>5.0467741935483874E-2</v>
      </c>
      <c r="H105" s="142">
        <f t="shared" si="3"/>
        <v>14.349532258064517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64">
        <f>847749/H64/1000</f>
        <v>1.1394475806451612</v>
      </c>
      <c r="H106" s="142">
        <f t="shared" si="3"/>
        <v>13.260552419354839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9">
        <f>172361/H64/1000</f>
        <v>0.23166801075268817</v>
      </c>
      <c r="H107" s="145">
        <f t="shared" si="3"/>
        <v>17.66833198924731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F25" sqref="F25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80" t="s">
        <v>0</v>
      </c>
      <c r="B1" s="180"/>
      <c r="C1" s="180"/>
      <c r="D1" s="180"/>
      <c r="E1" s="180"/>
      <c r="F1" s="180"/>
      <c r="G1" s="180"/>
      <c r="H1" s="180"/>
    </row>
    <row r="2" spans="1:8" x14ac:dyDescent="0.3">
      <c r="A2" s="180" t="s">
        <v>1</v>
      </c>
      <c r="B2" s="180"/>
      <c r="C2" s="180"/>
      <c r="D2" s="180"/>
      <c r="E2" s="180"/>
      <c r="F2" s="180"/>
      <c r="G2" s="180"/>
      <c r="H2" s="180"/>
    </row>
    <row r="4" spans="1:8" x14ac:dyDescent="0.3">
      <c r="A4" s="180" t="s">
        <v>2</v>
      </c>
      <c r="B4" s="180"/>
      <c r="C4" s="180"/>
      <c r="D4" s="180"/>
      <c r="E4" s="180"/>
      <c r="F4" s="180"/>
      <c r="G4" s="180"/>
      <c r="H4" s="180"/>
    </row>
    <row r="6" spans="1:8" x14ac:dyDescent="0.3">
      <c r="A6" s="180" t="s">
        <v>3</v>
      </c>
      <c r="B6" s="180"/>
      <c r="C6" s="180"/>
      <c r="D6" s="180"/>
      <c r="E6" s="180"/>
      <c r="F6" s="180"/>
      <c r="G6" s="180"/>
      <c r="H6" s="180"/>
    </row>
    <row r="7" spans="1:8" x14ac:dyDescent="0.3">
      <c r="B7" s="147" t="s">
        <v>310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7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26250/744000</f>
        <v>3.5282258064516132E-2</v>
      </c>
      <c r="H11" s="19">
        <f>F11/1000-G11</f>
        <v>2.464717741935484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3385734/744000</f>
        <v>4.5507177419354843</v>
      </c>
      <c r="H12" s="11">
        <f t="shared" ref="H12:H49" si="0">F12/1000-G12</f>
        <v>11.449282258064516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2132130/744000</f>
        <v>2.865766129032258</v>
      </c>
      <c r="H13" s="19">
        <f t="shared" si="0"/>
        <v>13.134233870967742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103720/744000</f>
        <v>0.13940860215053763</v>
      </c>
      <c r="H14" s="25">
        <f t="shared" si="0"/>
        <v>9.860591397849463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72060/744000</f>
        <v>9.6854838709677413E-2</v>
      </c>
      <c r="H15" s="29">
        <f t="shared" si="0"/>
        <v>9.9031451612903219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2940256/744000</f>
        <v>3.9519569892473116</v>
      </c>
      <c r="H16" s="33">
        <f t="shared" si="0"/>
        <v>36.048043010752686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(3232782+16240)/720000</f>
        <v>4.5125305555555553</v>
      </c>
      <c r="H17" s="19">
        <f t="shared" si="0"/>
        <v>1.7874694444444446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61">
        <v>0</v>
      </c>
      <c r="H18" s="11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31">
        <f>106140/744000</f>
        <v>0.14266129032258065</v>
      </c>
      <c r="H19" s="36">
        <f t="shared" ref="H19" si="1">F19/1000-G19</f>
        <v>19.857338709677418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157906/744000</f>
        <v>0.21223924731182794</v>
      </c>
      <c r="H20" s="19">
        <f t="shared" si="0"/>
        <v>9.7877607526881718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363540/744000</f>
        <v>0.48862903225806453</v>
      </c>
      <c r="H21" s="36">
        <f t="shared" si="0"/>
        <v>15.511370967741936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20">
        <v>0</v>
      </c>
      <c r="H22" s="19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62500/744000</f>
        <v>8.4005376344086016E-2</v>
      </c>
      <c r="H23" s="29">
        <f t="shared" si="0"/>
        <v>2.415994623655914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408051/744000</f>
        <v>0.54845564516129031</v>
      </c>
      <c r="H24" s="36">
        <f t="shared" si="0"/>
        <v>5.7515443548387095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3948/744000</f>
        <v>5.3064516129032258E-3</v>
      </c>
      <c r="H25" s="19">
        <f t="shared" si="0"/>
        <v>6.2946935483870963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161">
        <f>1456140/744000</f>
        <v>1.9571774193548388</v>
      </c>
      <c r="H26" s="168">
        <f t="shared" si="0"/>
        <v>14.042822580645161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20">
        <v>0</v>
      </c>
      <c r="H27" s="19">
        <f t="shared" si="0"/>
        <v>16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25523/744000</f>
        <v>3.430510752688172E-2</v>
      </c>
      <c r="H28" s="29">
        <f t="shared" si="0"/>
        <v>2.4656948924731181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69296/744000</f>
        <v>9.3139784946236565E-2</v>
      </c>
      <c r="H29" s="29">
        <f t="shared" si="0"/>
        <v>2.4068602150537632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f>339480/744000</f>
        <v>0.45629032258064517</v>
      </c>
      <c r="H30" s="36">
        <f>F30/1000-G30</f>
        <v>39.543709677419358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6720/744000</f>
        <v>9.0322580645161299E-3</v>
      </c>
      <c r="H31" s="19">
        <f>F31/1000-G31</f>
        <v>19.990967741935485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1576776/744000</f>
        <v>2.1193225806451612</v>
      </c>
      <c r="H33" s="19">
        <f t="shared" si="0"/>
        <v>7.8806774193548392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198351/744000</f>
        <v>0.26660080645161288</v>
      </c>
      <c r="H34" s="29">
        <f t="shared" si="0"/>
        <v>6.0333991935483873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244000/744000</f>
        <v>0.32795698924731181</v>
      </c>
      <c r="H37" s="33">
        <f t="shared" si="0"/>
        <v>5.2720430107526877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2899/744000</f>
        <v>3.8965053763440859E-3</v>
      </c>
      <c r="H40" s="36">
        <f t="shared" si="0"/>
        <v>2.496103494623656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37917/744000</f>
        <v>5.0963709677419353E-2</v>
      </c>
      <c r="H43" s="29">
        <f t="shared" si="0"/>
        <v>6.2490362903225805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67620/744000</f>
        <v>9.0887096774193543E-2</v>
      </c>
      <c r="H44" s="31">
        <f>F44/1000-G44</f>
        <v>3.9091129032258065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124680/744000</f>
        <v>0.16758064516129031</v>
      </c>
      <c r="H47" s="20">
        <f>F47/1000-G47</f>
        <v>3.8324193548387098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56461/744000</f>
        <v>7.5888440860215053E-2</v>
      </c>
      <c r="H49" s="29">
        <f t="shared" si="0"/>
        <v>0.92411155913978493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1" t="s">
        <v>66</v>
      </c>
      <c r="B52" s="181"/>
      <c r="C52" s="181"/>
      <c r="D52" s="181"/>
      <c r="E52" s="181"/>
      <c r="F52" s="181"/>
      <c r="G52" s="181"/>
      <c r="H52" s="181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7611789/744000</f>
        <v>10.230899193548387</v>
      </c>
      <c r="H56" s="40">
        <f t="shared" ref="H56:H108" si="2">F56-G56</f>
        <v>55.422600806451605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4700040/744000</f>
        <v>6.3172580645161291</v>
      </c>
      <c r="H57" s="40">
        <f t="shared" si="2"/>
        <v>82.215491935483868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1562418/744000</f>
        <v>2.100024193548387</v>
      </c>
      <c r="H58" s="40">
        <f t="shared" si="2"/>
        <v>86.4327258064516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8260734/744000</f>
        <v>11.103137096774194</v>
      </c>
      <c r="H59" s="40">
        <f t="shared" si="2"/>
        <v>77.429612903225802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2571010/744000</f>
        <v>3.4556586021505376</v>
      </c>
      <c r="H60" s="40">
        <f t="shared" si="2"/>
        <v>85.077091397849458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368892/744000</f>
        <v>0.49582258064516127</v>
      </c>
      <c r="H61" s="40">
        <f t="shared" si="2"/>
        <v>88.036927419354825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3753814/744000</f>
        <v>5.0454489247311827</v>
      </c>
      <c r="H62" s="40">
        <f t="shared" si="2"/>
        <v>70.555551075268824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12348659/744000</f>
        <v>16.597659946236558</v>
      </c>
      <c r="H63" s="40">
        <f t="shared" si="2"/>
        <v>84.86684005376344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4486842/744000</f>
        <v>6.0307016129032256</v>
      </c>
      <c r="H64" s="72">
        <f t="shared" si="2"/>
        <v>95.433798387096772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384160/744000</f>
        <v>0.51634408602150539</v>
      </c>
      <c r="H65" s="72">
        <f t="shared" si="2"/>
        <v>75.084655913978494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113488/744000</f>
        <v>0.15253763440860216</v>
      </c>
      <c r="H66" s="46">
        <f t="shared" si="2"/>
        <v>11.049212365591398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1624088/744000</f>
        <v>2.1829139784946237</v>
      </c>
      <c r="H68" s="151">
        <f t="shared" si="2"/>
        <v>73.418086021505374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52294/744000</f>
        <v>7.0287634408602154E-2</v>
      </c>
      <c r="H70" s="146">
        <f t="shared" si="2"/>
        <v>75.530712365591398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6682167/744000</f>
        <v>8.9814072580645163</v>
      </c>
      <c r="H72" s="54">
        <f t="shared" si="2"/>
        <v>92.483092741935479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2250342/744000</f>
        <v>3.0246532258064516</v>
      </c>
      <c r="H73" s="46">
        <f t="shared" si="2"/>
        <v>13.937996774193548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42663/744000</f>
        <v>5.7342741935483874E-2</v>
      </c>
      <c r="H75" s="39">
        <f t="shared" si="2"/>
        <v>21.065957258064522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1293144/744000</f>
        <v>1.7380967741935485</v>
      </c>
      <c r="H76" s="40">
        <f t="shared" si="2"/>
        <v>15.224553225806451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158">
        <v>0</v>
      </c>
      <c r="H77" s="155" t="s">
        <v>15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956/744000</f>
        <v>1.2849462365591398E-3</v>
      </c>
      <c r="H78" s="40">
        <f t="shared" si="2"/>
        <v>16.961365053763441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20">
        <f>67283/744000</f>
        <v>9.043413978494623E-2</v>
      </c>
      <c r="H79" s="146">
        <f t="shared" si="2"/>
        <v>21.032865860215058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29213/744000</f>
        <v>3.9264784946236558E-2</v>
      </c>
      <c r="H85" s="40">
        <f t="shared" si="2"/>
        <v>75.561735215053758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20460000/744000</f>
        <v>27.5</v>
      </c>
      <c r="H86" s="40">
        <f t="shared" si="2"/>
        <v>73.964500000000001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1425900/744000</f>
        <v>1.9165322580645161</v>
      </c>
      <c r="H87" s="46">
        <f t="shared" si="2"/>
        <v>11.525567741935484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1314192/744000</f>
        <v>1.7663870967741935</v>
      </c>
      <c r="H89" s="54">
        <f>F89-G89</f>
        <v>73.834612903225803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1310393/744000</f>
        <v>1.7612809139784946</v>
      </c>
      <c r="H90" s="46">
        <f>F90-G90</f>
        <v>15.201369086021506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111721/744000</f>
        <v>0.15016263440860214</v>
      </c>
      <c r="H92" s="52">
        <f t="shared" si="2"/>
        <v>16.812487365591398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1478379/744000</f>
        <v>1.9870685483870967</v>
      </c>
      <c r="H94" s="52">
        <f t="shared" si="2"/>
        <v>14.975581451612904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3672/744000</f>
        <v>4.9354838709677416E-3</v>
      </c>
      <c r="H96" s="39">
        <f t="shared" si="2"/>
        <v>16.957714516129034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56514/744000</f>
        <v>7.5959677419354832E-2</v>
      </c>
      <c r="H97" s="46">
        <f t="shared" si="2"/>
        <v>21.047340322580649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16203/744000</f>
        <v>2.1778225806451612E-2</v>
      </c>
      <c r="H99" s="52">
        <f t="shared" si="2"/>
        <v>16.94087177419355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152097/744000</f>
        <v>0.20443145161290321</v>
      </c>
      <c r="H101" s="52">
        <f t="shared" si="2"/>
        <v>20.918868548387099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46886/744000</f>
        <v>6.3018817204301081E-2</v>
      </c>
      <c r="H103" s="39">
        <f t="shared" si="2"/>
        <v>16.899631182795698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263676/744000</f>
        <v>0.35440322580645162</v>
      </c>
      <c r="H104" s="72">
        <f t="shared" si="2"/>
        <v>16.60824677419355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f>847917/744000</f>
        <v>1.1396733870967741</v>
      </c>
      <c r="H105" s="72">
        <f t="shared" si="2"/>
        <v>15.822976612903226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174752/744000</f>
        <v>0.23488172043010752</v>
      </c>
      <c r="H107" s="39">
        <f t="shared" si="2"/>
        <v>16.727768279569894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155498/744000</f>
        <v>0.20900268817204301</v>
      </c>
      <c r="H108" s="46">
        <f t="shared" si="2"/>
        <v>24.11479731182796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декабрь 2024г.</vt:lpstr>
      <vt:lpstr>БЭУ за декабрь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2025-01-13T03:21:05Z</dcterms:modified>
</cp:coreProperties>
</file>