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50" activeTab="1"/>
  </bookViews>
  <sheets>
    <sheet name="ЖЭУ  за июль 2022г." sheetId="1" r:id="rId1"/>
    <sheet name="БЭУ за июль 2022г." sheetId="2" r:id="rId2"/>
  </sheets>
  <definedNames/>
  <calcPr fullCalcOnLoad="1"/>
</workbook>
</file>

<file path=xl/comments1.xml><?xml version="1.0" encoding="utf-8"?>
<comments xmlns="http://schemas.openxmlformats.org/spreadsheetml/2006/main">
  <authors>
    <author>Токешева</author>
  </authors>
  <commentList>
    <comment ref="G93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Никольская-Сары Кенгир от кегок цифра в ведомости сарыкенир
</t>
        </r>
      </text>
    </comment>
    <comment ref="G22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ВЛ-110кВ Центр 110
</t>
        </r>
      </text>
    </comment>
    <comment ref="G47" authorId="0">
      <text>
        <r>
          <rPr>
            <b/>
            <sz val="9"/>
            <rFont val="Tahoma"/>
            <family val="2"/>
          </rPr>
          <t>Токешева    ВЛ-35 Ктай</t>
        </r>
        <r>
          <rPr>
            <sz val="9"/>
            <rFont val="Tahoma"/>
            <family val="2"/>
          </rPr>
          <t xml:space="preserve">
</t>
        </r>
      </text>
    </comment>
    <comment ref="G50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ФОРПОСТ</t>
        </r>
      </text>
    </comment>
    <comment ref="G52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ВЕСТ 
</t>
        </r>
      </text>
    </comment>
    <comment ref="G53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ОРКЕН</t>
        </r>
      </text>
    </comment>
    <comment ref="G2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110 КВ ПР   никольская 110</t>
        </r>
      </text>
    </comment>
    <comment ref="G34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линия Барсенгир 220
ПС Жайрем</t>
        </r>
      </text>
    </comment>
    <comment ref="G87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расход по сч</t>
        </r>
      </text>
    </comment>
    <comment ref="G26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ПС Улытау выд 110 КВ ПР</t>
        </r>
      </text>
    </comment>
    <comment ref="G49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ввод-35кВ Т-2 ЯЧ.14
</t>
        </r>
      </text>
    </comment>
    <comment ref="G68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143 минус кумколь 5
</t>
        </r>
      </text>
    </comment>
    <comment ref="G28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ВЛ-10 №1
</t>
        </r>
      </text>
    </comment>
    <comment ref="G35" authorId="0">
      <text>
        <r>
          <rPr>
            <b/>
            <sz val="9"/>
            <rFont val="Tahoma"/>
            <family val="2"/>
          </rPr>
          <t>Токешева:</t>
        </r>
        <r>
          <rPr>
            <sz val="9"/>
            <rFont val="Tahoma"/>
            <family val="2"/>
          </rPr>
          <t xml:space="preserve">
линия Жезк220</t>
        </r>
      </text>
    </comment>
    <comment ref="G46" authorId="0">
      <text>
        <r>
          <rPr>
            <b/>
            <sz val="9"/>
            <rFont val="Tahoma"/>
            <family val="2"/>
          </rPr>
          <t>Токе   ВЛ-35 Клыч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<sst xmlns="http://schemas.openxmlformats.org/spreadsheetml/2006/main" count="492" uniqueCount="311">
  <si>
    <t>мощность</t>
  </si>
  <si>
    <t>трансформатора</t>
  </si>
  <si>
    <t>№</t>
  </si>
  <si>
    <t>1.</t>
  </si>
  <si>
    <t>ПС- 220кВ</t>
  </si>
  <si>
    <t>ПС- 110кВ</t>
  </si>
  <si>
    <t>2.</t>
  </si>
  <si>
    <t>3.</t>
  </si>
  <si>
    <t>4.</t>
  </si>
  <si>
    <t>5.</t>
  </si>
  <si>
    <t>6.</t>
  </si>
  <si>
    <t>7.</t>
  </si>
  <si>
    <t>8.</t>
  </si>
  <si>
    <t>9.</t>
  </si>
  <si>
    <t>ПС-35кВ</t>
  </si>
  <si>
    <t>10.</t>
  </si>
  <si>
    <t>11.</t>
  </si>
  <si>
    <t>Каражальский  РЭС</t>
  </si>
  <si>
    <t>12.</t>
  </si>
  <si>
    <t>13.</t>
  </si>
  <si>
    <t>14.</t>
  </si>
  <si>
    <t>ПС-110кВ</t>
  </si>
  <si>
    <t>15.</t>
  </si>
  <si>
    <t>16.</t>
  </si>
  <si>
    <t>17.</t>
  </si>
  <si>
    <t>18.</t>
  </si>
  <si>
    <t>19.</t>
  </si>
  <si>
    <t>20.</t>
  </si>
  <si>
    <t>21.</t>
  </si>
  <si>
    <t xml:space="preserve">Центральный  РЭС  </t>
  </si>
  <si>
    <t>22.</t>
  </si>
  <si>
    <t>I.</t>
  </si>
  <si>
    <t>II.</t>
  </si>
  <si>
    <t>откл.</t>
  </si>
  <si>
    <t>Ж Е З К А З Г А Н С К И Й     Э Н Е Р О У З Е Л</t>
  </si>
  <si>
    <t>-</t>
  </si>
  <si>
    <t>кВ</t>
  </si>
  <si>
    <t>Нура-Талды  110/35/10кВ</t>
  </si>
  <si>
    <t>Наименование  ПС</t>
  </si>
  <si>
    <t>КВА</t>
  </si>
  <si>
    <t>МВт</t>
  </si>
  <si>
    <t>220/110/10кВ Барсенгир</t>
  </si>
  <si>
    <t>110/35/10кВ Сары-Кенгир</t>
  </si>
  <si>
    <t>110/35/10кВ Городская</t>
  </si>
  <si>
    <t xml:space="preserve">110/35/6кВ Актас  </t>
  </si>
  <si>
    <t xml:space="preserve">110/35/6кВ Центральная </t>
  </si>
  <si>
    <t xml:space="preserve">110/10кВ "Д" </t>
  </si>
  <si>
    <t>110/6кВ Кумколь-1</t>
  </si>
  <si>
    <t xml:space="preserve">110/35/10кВ Улытау  </t>
  </si>
  <si>
    <t xml:space="preserve">35/10кВ Талап </t>
  </si>
  <si>
    <t xml:space="preserve">35/10кВ Урожайная  </t>
  </si>
  <si>
    <t xml:space="preserve">35/10кВ Копколь </t>
  </si>
  <si>
    <t xml:space="preserve">220/35/6кВ Жайрем </t>
  </si>
  <si>
    <t xml:space="preserve">220/35/10кВЖана-Арка </t>
  </si>
  <si>
    <t xml:space="preserve">220/35/6кВ Каражальская </t>
  </si>
  <si>
    <t xml:space="preserve">35/6кВ Клыч  </t>
  </si>
  <si>
    <t xml:space="preserve">35/6кВ Ктай  </t>
  </si>
  <si>
    <t xml:space="preserve">35/10кВ Кзыл-Жар  </t>
  </si>
  <si>
    <t>АТ-1</t>
  </si>
  <si>
    <t>АТ-2</t>
  </si>
  <si>
    <t>Т-1</t>
  </si>
  <si>
    <t>Т-2</t>
  </si>
  <si>
    <t>Т-3</t>
  </si>
  <si>
    <t>Т-4</t>
  </si>
  <si>
    <t>110/35/6кВ</t>
  </si>
  <si>
    <t xml:space="preserve">110/10кВ ГПП-1 </t>
  </si>
  <si>
    <t xml:space="preserve">35/0,4кВ Скважина №250  </t>
  </si>
  <si>
    <t xml:space="preserve">35/0,4кВ Скважина №701 </t>
  </si>
  <si>
    <t>10,5*105%=11,1кВ</t>
  </si>
  <si>
    <t>6,3*105%=6,62кВ</t>
  </si>
  <si>
    <t>Лето не выше 100%</t>
  </si>
  <si>
    <t>10,5кВ</t>
  </si>
  <si>
    <t>6,3кВ</t>
  </si>
  <si>
    <t>231,4/112,3/11,1</t>
  </si>
  <si>
    <t>231,8/112,4/11,1</t>
  </si>
  <si>
    <t>115,3/34,9/11,1</t>
  </si>
  <si>
    <t>110,9/6,62</t>
  </si>
  <si>
    <t>111,0/6,62</t>
  </si>
  <si>
    <t>110,8/33,9/11,1</t>
  </si>
  <si>
    <t>33,9/11,1</t>
  </si>
  <si>
    <t>121,2/36,6/6,62</t>
  </si>
  <si>
    <t>115,7/35,8/6,62</t>
  </si>
  <si>
    <t>116,7/35,4/11,1</t>
  </si>
  <si>
    <t>35,3/11,1</t>
  </si>
  <si>
    <t>228,5/35,2/6,62</t>
  </si>
  <si>
    <t>227,5/35,2/6,62</t>
  </si>
  <si>
    <t>234,5/34,1/11,1</t>
  </si>
  <si>
    <t>225,3/35,4/11,1</t>
  </si>
  <si>
    <t>225,4/34,0/6,62</t>
  </si>
  <si>
    <t>227,0/34,4/6,62</t>
  </si>
  <si>
    <t>128,1/33,9</t>
  </si>
  <si>
    <t>128,1/34,4</t>
  </si>
  <si>
    <t>128,1/11,1</t>
  </si>
  <si>
    <t>34,6/6,62</t>
  </si>
  <si>
    <t>33,9/6,62</t>
  </si>
  <si>
    <t>35,2/11,1</t>
  </si>
  <si>
    <t>Приложение №2</t>
  </si>
  <si>
    <t>Форма</t>
  </si>
  <si>
    <t>Информация о пропускной способности энергопередающей организации</t>
  </si>
  <si>
    <t>Таблица №1</t>
  </si>
  <si>
    <t>№ ввода</t>
  </si>
  <si>
    <t>Адрес</t>
  </si>
  <si>
    <t>нахождения</t>
  </si>
  <si>
    <t>Уровень</t>
  </si>
  <si>
    <t>напряжения</t>
  </si>
  <si>
    <t>Загрузка,</t>
  </si>
  <si>
    <t>Свободная</t>
  </si>
  <si>
    <t>АО "Жезказгансая РЭК"</t>
  </si>
  <si>
    <t>ТАБЛИЦА  2</t>
  </si>
  <si>
    <t xml:space="preserve"> АО "Жезказганская РЭК"</t>
  </si>
  <si>
    <t>Наименование ВЛ</t>
  </si>
  <si>
    <t>Протя-</t>
  </si>
  <si>
    <t>Сечение</t>
  </si>
  <si>
    <t>Напря-</t>
  </si>
  <si>
    <t>Предельно</t>
  </si>
  <si>
    <t>Загрузка</t>
  </si>
  <si>
    <t xml:space="preserve">Свободная </t>
  </si>
  <si>
    <t>женность</t>
  </si>
  <si>
    <t>жение</t>
  </si>
  <si>
    <t xml:space="preserve">допустимая </t>
  </si>
  <si>
    <t>ВЛ.км</t>
  </si>
  <si>
    <t>ВЛ,мм</t>
  </si>
  <si>
    <t>Жезказганский энергоузел</t>
  </si>
  <si>
    <t>пс Барсенгир</t>
  </si>
  <si>
    <t>Каракаин-1</t>
  </si>
  <si>
    <t>АС-95,120</t>
  </si>
  <si>
    <t>Каракаин-2</t>
  </si>
  <si>
    <t>пс Кумколь</t>
  </si>
  <si>
    <t>ВЛ-143</t>
  </si>
  <si>
    <t>АС-95</t>
  </si>
  <si>
    <t>ВЛ-144</t>
  </si>
  <si>
    <t>пс Жайрем</t>
  </si>
  <si>
    <t>Берлистик</t>
  </si>
  <si>
    <t>АС-50,70</t>
  </si>
  <si>
    <t>Кенжебай</t>
  </si>
  <si>
    <t>АС-70</t>
  </si>
  <si>
    <t>Женис</t>
  </si>
  <si>
    <t>АС-50</t>
  </si>
  <si>
    <t>КзылЖар</t>
  </si>
  <si>
    <t>Карьер левая</t>
  </si>
  <si>
    <t>АС-70,150</t>
  </si>
  <si>
    <t>Карьер правая</t>
  </si>
  <si>
    <t>Тузколь левая</t>
  </si>
  <si>
    <t>Тузколь  правая</t>
  </si>
  <si>
    <t>пс ЖанаАрка</t>
  </si>
  <si>
    <t>Бидаик</t>
  </si>
  <si>
    <t>Интумак</t>
  </si>
  <si>
    <t>Дружба</t>
  </si>
  <si>
    <t>пс Каражальская</t>
  </si>
  <si>
    <t>Клыч</t>
  </si>
  <si>
    <t>АС-120</t>
  </si>
  <si>
    <t>Ктай</t>
  </si>
  <si>
    <t>ПС Жарык</t>
  </si>
  <si>
    <t>Бурма</t>
  </si>
  <si>
    <t>Шетская</t>
  </si>
  <si>
    <t>ЖТЭЦ</t>
  </si>
  <si>
    <t>"8Ц" Талап</t>
  </si>
  <si>
    <t>пс Никольская</t>
  </si>
  <si>
    <t>"15С"</t>
  </si>
  <si>
    <t>Сары-Кенгир</t>
  </si>
  <si>
    <t>Центральная</t>
  </si>
  <si>
    <t>АС-50,70,95</t>
  </si>
  <si>
    <t>пс СарыКенгир</t>
  </si>
  <si>
    <t>Алгабас</t>
  </si>
  <si>
    <t>ПС Центральная</t>
  </si>
  <si>
    <t>Актас</t>
  </si>
  <si>
    <t>УлыТау</t>
  </si>
  <si>
    <t>Байконур</t>
  </si>
  <si>
    <t>пс Актас</t>
  </si>
  <si>
    <t>пс Улытау</t>
  </si>
  <si>
    <t>Кара-Кенгир</t>
  </si>
  <si>
    <t>Сарлык</t>
  </si>
  <si>
    <t>Кургасын</t>
  </si>
  <si>
    <t>АС-50,95</t>
  </si>
  <si>
    <t>Мощность</t>
  </si>
  <si>
    <t>Ввод110</t>
  </si>
  <si>
    <t>10кВ</t>
  </si>
  <si>
    <t>в папке Нура Талды (Кызылгой по 110кВ</t>
  </si>
  <si>
    <t>Предельно-допустимые нагрузки на транзитные линии 35-110кВ</t>
  </si>
  <si>
    <t>Ввод 10-кВ</t>
  </si>
  <si>
    <t>35кВ Жайрем</t>
  </si>
  <si>
    <t>35кВ Женис</t>
  </si>
  <si>
    <t>за июль 2022г.</t>
  </si>
  <si>
    <t>Приложение № 2</t>
  </si>
  <si>
    <t>Таблица 1:</t>
  </si>
  <si>
    <t>Июль 2022 года</t>
  </si>
  <si>
    <t>п/п №</t>
  </si>
  <si>
    <t xml:space="preserve">Наименование ПС </t>
  </si>
  <si>
    <t>Адрес нахождения</t>
  </si>
  <si>
    <t>Уровень напряжения, кВ</t>
  </si>
  <si>
    <t>Мощность трансформатора, кВА</t>
  </si>
  <si>
    <t>Загрузка, март МВт</t>
  </si>
  <si>
    <t>Свободная мощность, МВт</t>
  </si>
  <si>
    <t>ПС  СТРОИТЕЛЬН.</t>
  </si>
  <si>
    <t>Т - 1</t>
  </si>
  <si>
    <t xml:space="preserve">Шетский район  </t>
  </si>
  <si>
    <t>220/35/6</t>
  </si>
  <si>
    <t>РЕЗЕРВ</t>
  </si>
  <si>
    <t>Т - 2</t>
  </si>
  <si>
    <t>Т - 3</t>
  </si>
  <si>
    <t>35/6</t>
  </si>
  <si>
    <t>ПС  1 - 110</t>
  </si>
  <si>
    <t>город Приозерск</t>
  </si>
  <si>
    <t>110/35/10</t>
  </si>
  <si>
    <t>ПС  2 - 110</t>
  </si>
  <si>
    <t>ПС  3 - 110</t>
  </si>
  <si>
    <t>ПС  4 - 110</t>
  </si>
  <si>
    <t>Джамбульская обл.</t>
  </si>
  <si>
    <t>35/10</t>
  </si>
  <si>
    <t>ПС  5 - 110</t>
  </si>
  <si>
    <t>Балхаш 9</t>
  </si>
  <si>
    <t>110/10</t>
  </si>
  <si>
    <t>ПС  6 - 110</t>
  </si>
  <si>
    <t>ПС  7 - 110</t>
  </si>
  <si>
    <t>Поселок Жамши</t>
  </si>
  <si>
    <t>ПС  9 - 110</t>
  </si>
  <si>
    <t>Поселок Актогай</t>
  </si>
  <si>
    <t>ПС  10 - 110</t>
  </si>
  <si>
    <t>ПС  11 - 110</t>
  </si>
  <si>
    <t>Поселок Орта-Дересин</t>
  </si>
  <si>
    <t>ПС  13 - 110</t>
  </si>
  <si>
    <t>Поселок Акжартас</t>
  </si>
  <si>
    <t>ПС  16 - 110</t>
  </si>
  <si>
    <t>Город Балхаш</t>
  </si>
  <si>
    <t>ПС  17 - 110</t>
  </si>
  <si>
    <t>Поселок Озерный Актогайск.район</t>
  </si>
  <si>
    <t>ПС  18 - 110</t>
  </si>
  <si>
    <t>Поселок Шетск</t>
  </si>
  <si>
    <t>110/35/11</t>
  </si>
  <si>
    <t>ПС  БЕСКЕМПИР</t>
  </si>
  <si>
    <t>Джамбульская обл.Маинкумский район</t>
  </si>
  <si>
    <t>10/6</t>
  </si>
  <si>
    <t>ПС  2 - 35</t>
  </si>
  <si>
    <t>Актогайский район</t>
  </si>
  <si>
    <t>ПС  9 - 35</t>
  </si>
  <si>
    <t>ПС  15 - 35</t>
  </si>
  <si>
    <t>ПС  17 - 35</t>
  </si>
  <si>
    <t>ПС  20 - 35</t>
  </si>
  <si>
    <t>Поселок Гульшад</t>
  </si>
  <si>
    <t>ПС  21 - 35</t>
  </si>
  <si>
    <t>Поселок Чубар-Тюбек</t>
  </si>
  <si>
    <t>ПС  24 - 35</t>
  </si>
  <si>
    <t>Поселок Торангылык</t>
  </si>
  <si>
    <t>ПС  25 - 35</t>
  </si>
  <si>
    <t>Поселок Тасарал</t>
  </si>
  <si>
    <t>10/0,23</t>
  </si>
  <si>
    <t>искл. из схемы</t>
  </si>
  <si>
    <t>ПС  51 - 35</t>
  </si>
  <si>
    <t>Поселок Алгазы</t>
  </si>
  <si>
    <t>ПС  МЫН - АРАЛ</t>
  </si>
  <si>
    <t>Таблица 2:</t>
  </si>
  <si>
    <t xml:space="preserve">Наименование ВЛ </t>
  </si>
  <si>
    <t>Протяженность ВЛ, км</t>
  </si>
  <si>
    <t>Сечение ВЛ, мм</t>
  </si>
  <si>
    <t>Номинальная пропускная способность, МВт</t>
  </si>
  <si>
    <t>Загрузка, март, МВт</t>
  </si>
  <si>
    <t>ПС Балхашская</t>
  </si>
  <si>
    <t>Л-103</t>
  </si>
  <si>
    <t>Л-104</t>
  </si>
  <si>
    <t>Л-105</t>
  </si>
  <si>
    <t>Л-106</t>
  </si>
  <si>
    <t>150 , 70</t>
  </si>
  <si>
    <t>Л-107</t>
  </si>
  <si>
    <t>Л-110</t>
  </si>
  <si>
    <t>Л-111</t>
  </si>
  <si>
    <t>Л-117</t>
  </si>
  <si>
    <t>Л-118</t>
  </si>
  <si>
    <t>Л-130</t>
  </si>
  <si>
    <t>Л-54</t>
  </si>
  <si>
    <t>ПС Акчатау</t>
  </si>
  <si>
    <t>Л-120</t>
  </si>
  <si>
    <t>Л-122</t>
  </si>
  <si>
    <t>Л-124</t>
  </si>
  <si>
    <t>ПС Агадырь</t>
  </si>
  <si>
    <t>Л-126</t>
  </si>
  <si>
    <t>Л-55А</t>
  </si>
  <si>
    <t>ПС Кайракты</t>
  </si>
  <si>
    <t>Л-В.Кайракты</t>
  </si>
  <si>
    <t>Л-49</t>
  </si>
  <si>
    <t>Л-55</t>
  </si>
  <si>
    <t>Л-56</t>
  </si>
  <si>
    <t>Л-57</t>
  </si>
  <si>
    <t>ПС Жарык сетевая</t>
  </si>
  <si>
    <t>Л-57А</t>
  </si>
  <si>
    <t>ПС Бескемпир</t>
  </si>
  <si>
    <t>отпайка от Л-140</t>
  </si>
  <si>
    <t>ПС Моинты</t>
  </si>
  <si>
    <t>Л-128</t>
  </si>
  <si>
    <t>Л-81</t>
  </si>
  <si>
    <t>ПС 18-110 "Аксу-Аюлы"</t>
  </si>
  <si>
    <t>Л-129</t>
  </si>
  <si>
    <t>Л-51А</t>
  </si>
  <si>
    <t>ПС Саяк</t>
  </si>
  <si>
    <t>Л-85</t>
  </si>
  <si>
    <t>ПС 16-110 "Свинокомплекс"</t>
  </si>
  <si>
    <t>Л-92</t>
  </si>
  <si>
    <t>70, 120</t>
  </si>
  <si>
    <t>ПС 2-110</t>
  </si>
  <si>
    <t>Л-46</t>
  </si>
  <si>
    <t>Л-91</t>
  </si>
  <si>
    <t>ПС 3-110</t>
  </si>
  <si>
    <t>Л-45</t>
  </si>
  <si>
    <t>ПС 5-110</t>
  </si>
  <si>
    <t>Л-34</t>
  </si>
  <si>
    <t>ПС 1-110</t>
  </si>
  <si>
    <t>Л-37</t>
  </si>
  <si>
    <t>Л-38</t>
  </si>
  <si>
    <t>Л-39</t>
  </si>
  <si>
    <t>ПС 9-110 "Актогай"</t>
  </si>
  <si>
    <t>Л-71</t>
  </si>
  <si>
    <t>Л-74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</si>
</sst>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00"/>
    <numFmt numFmtId="167" formatCode="0.0%"/>
    <numFmt numFmtId="168" formatCode="0.00000"/>
    <numFmt numFmtId="169" formatCode="0.0000"/>
    <numFmt numFmtId="170" formatCode="0.0000000"/>
    <numFmt numFmtId="171" formatCode="0.00000000"/>
    <numFmt numFmtId="172" formatCode="0.000000"/>
    <numFmt numFmtId="173" formatCode="0.000000000"/>
    <numFmt numFmtId="174" formatCode="0.0000000000"/>
    <numFmt numFmtId="175" formatCode="_-* #,##0.0_р_._-;\-* #,##0.0_р_._-;_-* &quot;-&quot;_р_._-;_-@_-"/>
    <numFmt numFmtId="176" formatCode="0.000%"/>
    <numFmt numFmtId="177" formatCode="0.000;[Red]0.000"/>
    <numFmt numFmtId="178" formatCode="0.00;[Red]0.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\ _₽_-;\-* #,##0.00\ _₽_-;_-* &quot;-&quot;??\ _₽_-;_-@_-"/>
    <numFmt numFmtId="183" formatCode="_-* #,##0.000\ _₽_-;\-* #,##0.000\ _₽_-;_-* &quot;-&quot;??\ _₽_-;_-@_-"/>
    <numFmt numFmtId="184" formatCode="_-* #,##0\ _₽_-;\-* #,##0\ _₽_-;_-* &quot;-&quot;??\ _₽_-;_-@_-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5"/>
      <name val="Times New Roman"/>
      <family val="1"/>
    </font>
    <font>
      <sz val="1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0"/>
    </font>
    <font>
      <sz val="11"/>
      <color theme="3" tint="0.5999900102615356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65" fontId="1" fillId="0" borderId="25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2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165" fontId="0" fillId="0" borderId="22" xfId="0" applyNumberForma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165" fontId="0" fillId="0" borderId="25" xfId="0" applyNumberForma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183" fontId="53" fillId="0" borderId="0" xfId="58" applyNumberFormat="1" applyFont="1" applyFill="1" applyAlignment="1">
      <alignment/>
    </xf>
    <xf numFmtId="183" fontId="53" fillId="0" borderId="0" xfId="58" applyNumberFormat="1" applyFont="1" applyFill="1" applyAlignment="1">
      <alignment horizontal="right"/>
    </xf>
    <xf numFmtId="165" fontId="1" fillId="0" borderId="24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51" fillId="0" borderId="12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3" fillId="0" borderId="0" xfId="0" applyFont="1" applyFill="1" applyAlignment="1">
      <alignment horizontal="left" indent="7"/>
    </xf>
    <xf numFmtId="0" fontId="3" fillId="0" borderId="0" xfId="0" applyFont="1" applyFill="1" applyAlignment="1">
      <alignment horizontal="left" indent="7"/>
    </xf>
    <xf numFmtId="0" fontId="53" fillId="0" borderId="0" xfId="0" applyFont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16" xfId="0" applyFont="1" applyFill="1" applyBorder="1" applyAlignment="1">
      <alignment horizontal="center" vertical="center" wrapText="1"/>
    </xf>
    <xf numFmtId="183" fontId="53" fillId="0" borderId="16" xfId="58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183" fontId="53" fillId="0" borderId="36" xfId="58" applyNumberFormat="1" applyFont="1" applyFill="1" applyBorder="1" applyAlignment="1">
      <alignment/>
    </xf>
    <xf numFmtId="183" fontId="53" fillId="0" borderId="36" xfId="58" applyNumberFormat="1" applyFont="1" applyFill="1" applyBorder="1" applyAlignment="1">
      <alignment horizontal="right"/>
    </xf>
    <xf numFmtId="0" fontId="53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183" fontId="53" fillId="0" borderId="37" xfId="58" applyNumberFormat="1" applyFont="1" applyFill="1" applyBorder="1" applyAlignment="1">
      <alignment/>
    </xf>
    <xf numFmtId="183" fontId="53" fillId="0" borderId="37" xfId="58" applyNumberFormat="1" applyFont="1" applyFill="1" applyBorder="1" applyAlignment="1">
      <alignment horizontal="right"/>
    </xf>
    <xf numFmtId="0" fontId="53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183" fontId="53" fillId="0" borderId="38" xfId="58" applyNumberFormat="1" applyFont="1" applyFill="1" applyBorder="1" applyAlignment="1">
      <alignment horizontal="right"/>
    </xf>
    <xf numFmtId="183" fontId="53" fillId="0" borderId="38" xfId="58" applyNumberFormat="1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83" fontId="53" fillId="0" borderId="15" xfId="58" applyNumberFormat="1" applyFont="1" applyFill="1" applyBorder="1" applyAlignment="1">
      <alignment/>
    </xf>
    <xf numFmtId="183" fontId="53" fillId="0" borderId="15" xfId="58" applyNumberFormat="1" applyFont="1" applyFill="1" applyBorder="1" applyAlignment="1">
      <alignment horizontal="right"/>
    </xf>
    <xf numFmtId="0" fontId="53" fillId="0" borderId="16" xfId="0" applyFont="1" applyFill="1" applyBorder="1" applyAlignment="1">
      <alignment horizontal="center"/>
    </xf>
    <xf numFmtId="183" fontId="53" fillId="0" borderId="16" xfId="58" applyNumberFormat="1" applyFont="1" applyFill="1" applyBorder="1" applyAlignment="1">
      <alignment/>
    </xf>
    <xf numFmtId="183" fontId="53" fillId="0" borderId="16" xfId="58" applyNumberFormat="1" applyFont="1" applyFill="1" applyBorder="1" applyAlignment="1">
      <alignment horizontal="right"/>
    </xf>
    <xf numFmtId="183" fontId="53" fillId="0" borderId="14" xfId="58" applyNumberFormat="1" applyFont="1" applyFill="1" applyBorder="1" applyAlignment="1">
      <alignment/>
    </xf>
    <xf numFmtId="183" fontId="53" fillId="0" borderId="39" xfId="58" applyNumberFormat="1" applyFont="1" applyFill="1" applyBorder="1" applyAlignment="1">
      <alignment/>
    </xf>
    <xf numFmtId="183" fontId="53" fillId="0" borderId="39" xfId="58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183" fontId="53" fillId="0" borderId="14" xfId="58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wrapText="1"/>
    </xf>
    <xf numFmtId="49" fontId="53" fillId="0" borderId="3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2" fontId="1" fillId="0" borderId="36" xfId="58" applyNumberFormat="1" applyFont="1" applyFill="1" applyBorder="1" applyAlignment="1">
      <alignment/>
    </xf>
    <xf numFmtId="184" fontId="1" fillId="0" borderId="36" xfId="58" applyNumberFormat="1" applyFont="1" applyFill="1" applyBorder="1" applyAlignment="1">
      <alignment horizontal="center"/>
    </xf>
    <xf numFmtId="181" fontId="1" fillId="0" borderId="36" xfId="60" applyNumberFormat="1" applyFont="1" applyFill="1" applyBorder="1" applyAlignment="1">
      <alignment/>
    </xf>
    <xf numFmtId="181" fontId="1" fillId="0" borderId="37" xfId="60" applyNumberFormat="1" applyFont="1" applyFill="1" applyBorder="1" applyAlignment="1">
      <alignment/>
    </xf>
    <xf numFmtId="182" fontId="1" fillId="0" borderId="37" xfId="58" applyNumberFormat="1" applyFont="1" applyFill="1" applyBorder="1" applyAlignment="1">
      <alignment/>
    </xf>
    <xf numFmtId="184" fontId="1" fillId="0" borderId="37" xfId="58" applyNumberFormat="1" applyFont="1" applyFill="1" applyBorder="1" applyAlignment="1">
      <alignment horizontal="center"/>
    </xf>
    <xf numFmtId="182" fontId="1" fillId="0" borderId="37" xfId="58" applyNumberFormat="1" applyFont="1" applyFill="1" applyBorder="1" applyAlignment="1">
      <alignment horizontal="left"/>
    </xf>
    <xf numFmtId="182" fontId="1" fillId="0" borderId="38" xfId="58" applyNumberFormat="1" applyFont="1" applyFill="1" applyBorder="1" applyAlignment="1">
      <alignment/>
    </xf>
    <xf numFmtId="184" fontId="1" fillId="0" borderId="38" xfId="58" applyNumberFormat="1" applyFont="1" applyFill="1" applyBorder="1" applyAlignment="1">
      <alignment horizontal="center"/>
    </xf>
    <xf numFmtId="181" fontId="1" fillId="0" borderId="38" xfId="60" applyNumberFormat="1" applyFont="1" applyFill="1" applyBorder="1" applyAlignment="1">
      <alignment/>
    </xf>
    <xf numFmtId="182" fontId="1" fillId="0" borderId="16" xfId="58" applyNumberFormat="1" applyFont="1" applyFill="1" applyBorder="1" applyAlignment="1">
      <alignment/>
    </xf>
    <xf numFmtId="184" fontId="1" fillId="0" borderId="16" xfId="58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82" fontId="1" fillId="0" borderId="36" xfId="58" applyNumberFormat="1" applyFont="1" applyFill="1" applyBorder="1" applyAlignment="1">
      <alignment horizontal="left"/>
    </xf>
    <xf numFmtId="181" fontId="1" fillId="0" borderId="37" xfId="60" applyNumberFormat="1" applyFont="1" applyFill="1" applyBorder="1" applyAlignment="1">
      <alignment horizontal="right"/>
    </xf>
    <xf numFmtId="182" fontId="1" fillId="0" borderId="16" xfId="58" applyNumberFormat="1" applyFont="1" applyFill="1" applyBorder="1" applyAlignment="1">
      <alignment horizontal="left"/>
    </xf>
    <xf numFmtId="182" fontId="1" fillId="0" borderId="38" xfId="58" applyNumberFormat="1" applyFont="1" applyFill="1" applyBorder="1" applyAlignment="1">
      <alignment horizontal="left"/>
    </xf>
    <xf numFmtId="181" fontId="1" fillId="0" borderId="16" xfId="60" applyNumberFormat="1" applyFont="1" applyFill="1" applyBorder="1" applyAlignment="1">
      <alignment/>
    </xf>
    <xf numFmtId="181" fontId="1" fillId="0" borderId="16" xfId="60" applyNumberFormat="1" applyFont="1" applyFill="1" applyBorder="1" applyAlignment="1">
      <alignment horizontal="right"/>
    </xf>
    <xf numFmtId="181" fontId="1" fillId="0" borderId="14" xfId="60" applyNumberFormat="1" applyFont="1" applyFill="1" applyBorder="1" applyAlignment="1">
      <alignment/>
    </xf>
    <xf numFmtId="181" fontId="1" fillId="0" borderId="38" xfId="60" applyNumberFormat="1" applyFont="1" applyFill="1" applyBorder="1" applyAlignment="1">
      <alignment horizontal="right"/>
    </xf>
    <xf numFmtId="182" fontId="53" fillId="0" borderId="38" xfId="58" applyNumberFormat="1" applyFont="1" applyFill="1" applyBorder="1" applyAlignment="1">
      <alignment/>
    </xf>
    <xf numFmtId="184" fontId="53" fillId="0" borderId="38" xfId="58" applyNumberFormat="1" applyFont="1" applyFill="1" applyBorder="1" applyAlignment="1">
      <alignment/>
    </xf>
    <xf numFmtId="182" fontId="53" fillId="0" borderId="16" xfId="58" applyNumberFormat="1" applyFont="1" applyFill="1" applyBorder="1" applyAlignment="1">
      <alignment/>
    </xf>
    <xf numFmtId="184" fontId="53" fillId="0" borderId="16" xfId="58" applyNumberFormat="1" applyFont="1" applyFill="1" applyBorder="1" applyAlignment="1">
      <alignment/>
    </xf>
    <xf numFmtId="182" fontId="53" fillId="0" borderId="36" xfId="58" applyNumberFormat="1" applyFont="1" applyFill="1" applyBorder="1" applyAlignment="1">
      <alignment/>
    </xf>
    <xf numFmtId="184" fontId="53" fillId="0" borderId="36" xfId="58" applyNumberFormat="1" applyFont="1" applyFill="1" applyBorder="1" applyAlignment="1">
      <alignment/>
    </xf>
    <xf numFmtId="182" fontId="53" fillId="0" borderId="37" xfId="58" applyNumberFormat="1" applyFont="1" applyFill="1" applyBorder="1" applyAlignment="1">
      <alignment/>
    </xf>
    <xf numFmtId="184" fontId="53" fillId="0" borderId="37" xfId="58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537</xdr:row>
      <xdr:rowOff>0</xdr:rowOff>
    </xdr:from>
    <xdr:to>
      <xdr:col>7</xdr:col>
      <xdr:colOff>0</xdr:colOff>
      <xdr:row>537</xdr:row>
      <xdr:rowOff>0</xdr:rowOff>
    </xdr:to>
    <xdr:sp>
      <xdr:nvSpPr>
        <xdr:cNvPr id="1" name="Line 38"/>
        <xdr:cNvSpPr>
          <a:spLocks/>
        </xdr:cNvSpPr>
      </xdr:nvSpPr>
      <xdr:spPr>
        <a:xfrm>
          <a:off x="95250" y="9126855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537</xdr:row>
      <xdr:rowOff>0</xdr:rowOff>
    </xdr:from>
    <xdr:to>
      <xdr:col>7</xdr:col>
      <xdr:colOff>0</xdr:colOff>
      <xdr:row>537</xdr:row>
      <xdr:rowOff>0</xdr:rowOff>
    </xdr:to>
    <xdr:sp>
      <xdr:nvSpPr>
        <xdr:cNvPr id="2" name="Line 39"/>
        <xdr:cNvSpPr>
          <a:spLocks/>
        </xdr:cNvSpPr>
      </xdr:nvSpPr>
      <xdr:spPr>
        <a:xfrm>
          <a:off x="95250" y="9126855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zoomScaleSheetLayoutView="135" workbookViewId="0" topLeftCell="A1">
      <selection activeCell="C109" sqref="C109"/>
    </sheetView>
  </sheetViews>
  <sheetFormatPr defaultColWidth="9.00390625" defaultRowHeight="12.75"/>
  <cols>
    <col min="1" max="1" width="3.75390625" style="9" customWidth="1"/>
    <col min="2" max="2" width="26.50390625" style="9" customWidth="1"/>
    <col min="3" max="3" width="9.25390625" style="9" customWidth="1"/>
    <col min="4" max="4" width="11.125" style="9" customWidth="1"/>
    <col min="5" max="5" width="17.50390625" style="13" customWidth="1"/>
    <col min="6" max="6" width="14.25390625" style="9" customWidth="1"/>
    <col min="7" max="7" width="12.125" style="1" customWidth="1"/>
    <col min="8" max="8" width="12.25390625" style="2" customWidth="1"/>
    <col min="9" max="9" width="11.875" style="2" customWidth="1"/>
    <col min="10" max="13" width="9.125" style="2" hidden="1" customWidth="1"/>
    <col min="14" max="16" width="9.125" style="2" customWidth="1"/>
    <col min="17" max="19" width="9.125" style="2" hidden="1" customWidth="1"/>
    <col min="20" max="34" width="9.125" style="2" customWidth="1"/>
  </cols>
  <sheetData>
    <row r="1" spans="3:20" ht="23.25" customHeight="1">
      <c r="C1" s="10"/>
      <c r="D1" s="10"/>
      <c r="E1" s="7"/>
      <c r="F1" s="23"/>
      <c r="G1" s="91"/>
      <c r="H1" s="23" t="s">
        <v>96</v>
      </c>
      <c r="I1" s="8"/>
      <c r="R1" s="5" t="s">
        <v>68</v>
      </c>
      <c r="S1" s="6"/>
      <c r="T1" s="6"/>
    </row>
    <row r="2" spans="2:20" ht="18.75">
      <c r="B2" s="11"/>
      <c r="C2" s="12"/>
      <c r="D2" s="12"/>
      <c r="F2" s="18"/>
      <c r="G2" s="92"/>
      <c r="H2" s="18" t="s">
        <v>97</v>
      </c>
      <c r="I2" s="4"/>
      <c r="R2" s="5" t="s">
        <v>69</v>
      </c>
      <c r="S2" s="6"/>
      <c r="T2" s="6"/>
    </row>
    <row r="3" spans="2:20" ht="18.75">
      <c r="B3" s="23"/>
      <c r="C3" s="23"/>
      <c r="D3" s="23"/>
      <c r="E3" s="23"/>
      <c r="F3" s="23"/>
      <c r="G3" s="91"/>
      <c r="H3" s="23" t="s">
        <v>98</v>
      </c>
      <c r="I3" s="4"/>
      <c r="R3" s="5" t="s">
        <v>70</v>
      </c>
      <c r="S3" s="6"/>
      <c r="T3" s="6"/>
    </row>
    <row r="4" spans="1:20" ht="18.75">
      <c r="A4" s="14"/>
      <c r="B4" s="14"/>
      <c r="C4" s="56"/>
      <c r="D4" s="56" t="s">
        <v>107</v>
      </c>
      <c r="E4" s="17"/>
      <c r="F4" s="14"/>
      <c r="G4" s="93"/>
      <c r="H4" s="20" t="s">
        <v>99</v>
      </c>
      <c r="I4" s="4"/>
      <c r="R4" s="5" t="s">
        <v>71</v>
      </c>
      <c r="S4" s="6"/>
      <c r="T4" s="6"/>
    </row>
    <row r="5" spans="1:20" ht="16.5" thickBot="1">
      <c r="A5" s="14"/>
      <c r="B5" s="14"/>
      <c r="C5" s="17"/>
      <c r="D5" s="17"/>
      <c r="E5" s="17"/>
      <c r="F5" s="14"/>
      <c r="G5" s="108" t="s">
        <v>182</v>
      </c>
      <c r="H5" s="108"/>
      <c r="I5" s="55"/>
      <c r="R5" s="5"/>
      <c r="S5" s="6"/>
      <c r="T5" s="6"/>
    </row>
    <row r="6" spans="1:20" ht="15.75">
      <c r="A6" s="81"/>
      <c r="B6" s="82"/>
      <c r="C6" s="82"/>
      <c r="D6" s="83" t="s">
        <v>101</v>
      </c>
      <c r="E6" s="84" t="s">
        <v>103</v>
      </c>
      <c r="F6" s="83" t="s">
        <v>174</v>
      </c>
      <c r="G6" s="116" t="s">
        <v>105</v>
      </c>
      <c r="H6" s="84" t="s">
        <v>106</v>
      </c>
      <c r="R6" s="5" t="s">
        <v>72</v>
      </c>
      <c r="S6" s="6"/>
      <c r="T6" s="6"/>
    </row>
    <row r="7" spans="1:8" ht="15.75">
      <c r="A7" s="85" t="s">
        <v>2</v>
      </c>
      <c r="B7" s="16" t="s">
        <v>38</v>
      </c>
      <c r="C7" s="16" t="s">
        <v>100</v>
      </c>
      <c r="D7" s="16" t="s">
        <v>102</v>
      </c>
      <c r="E7" s="15" t="s">
        <v>104</v>
      </c>
      <c r="F7" s="16" t="s">
        <v>1</v>
      </c>
      <c r="G7" s="117"/>
      <c r="H7" s="15" t="s">
        <v>0</v>
      </c>
    </row>
    <row r="8" spans="1:8" ht="16.5" thickBot="1">
      <c r="A8" s="86"/>
      <c r="B8" s="87"/>
      <c r="C8" s="87"/>
      <c r="D8" s="87"/>
      <c r="E8" s="88" t="s">
        <v>36</v>
      </c>
      <c r="F8" s="89" t="s">
        <v>39</v>
      </c>
      <c r="G8" s="94" t="s">
        <v>40</v>
      </c>
      <c r="H8" s="90" t="s">
        <v>40</v>
      </c>
    </row>
    <row r="9" spans="1:8" ht="15.75">
      <c r="A9" s="77"/>
      <c r="B9" s="78" t="s">
        <v>34</v>
      </c>
      <c r="C9" s="78"/>
      <c r="D9" s="78"/>
      <c r="E9" s="79"/>
      <c r="F9" s="78"/>
      <c r="G9" s="95"/>
      <c r="H9" s="80">
        <v>744</v>
      </c>
    </row>
    <row r="10" spans="1:8" ht="15.75">
      <c r="A10" s="60" t="s">
        <v>31</v>
      </c>
      <c r="B10" s="61" t="s">
        <v>29</v>
      </c>
      <c r="C10" s="61"/>
      <c r="D10" s="61"/>
      <c r="E10" s="62"/>
      <c r="F10" s="63"/>
      <c r="G10" s="45"/>
      <c r="H10" s="65"/>
    </row>
    <row r="11" spans="1:8" ht="15.75">
      <c r="A11" s="66"/>
      <c r="B11" s="67" t="s">
        <v>4</v>
      </c>
      <c r="C11" s="67"/>
      <c r="D11" s="67"/>
      <c r="E11" s="68"/>
      <c r="F11" s="64"/>
      <c r="G11" s="45"/>
      <c r="H11" s="65"/>
    </row>
    <row r="12" spans="1:14" ht="15.75">
      <c r="A12" s="69" t="s">
        <v>3</v>
      </c>
      <c r="B12" s="44" t="s">
        <v>41</v>
      </c>
      <c r="C12" s="70" t="s">
        <v>58</v>
      </c>
      <c r="D12" s="70"/>
      <c r="E12" s="45" t="s">
        <v>73</v>
      </c>
      <c r="F12" s="45">
        <v>63000</v>
      </c>
      <c r="G12" s="46">
        <f>(8715168+69420)/H9/1000</f>
        <v>11.807241935483871</v>
      </c>
      <c r="H12" s="71">
        <f>F12/1000-G12</f>
        <v>51.19275806451613</v>
      </c>
      <c r="I12" s="57"/>
      <c r="N12" s="58"/>
    </row>
    <row r="13" spans="1:14" ht="15.75">
      <c r="A13" s="69"/>
      <c r="B13" s="44"/>
      <c r="C13" s="70" t="s">
        <v>59</v>
      </c>
      <c r="D13" s="70"/>
      <c r="E13" s="45" t="s">
        <v>74</v>
      </c>
      <c r="F13" s="45">
        <v>63000</v>
      </c>
      <c r="G13" s="46">
        <f>(8665800+87930)/H9/1000</f>
        <v>11.765766129032258</v>
      </c>
      <c r="H13" s="71">
        <f>F13/1000-G13</f>
        <v>51.23423387096774</v>
      </c>
      <c r="I13" s="57"/>
      <c r="N13" s="58"/>
    </row>
    <row r="14" spans="1:14" ht="15.75">
      <c r="A14" s="69"/>
      <c r="B14" s="48" t="s">
        <v>5</v>
      </c>
      <c r="C14" s="48"/>
      <c r="D14" s="48"/>
      <c r="E14" s="45"/>
      <c r="F14" s="45"/>
      <c r="G14" s="46"/>
      <c r="H14" s="71"/>
      <c r="I14" s="57"/>
      <c r="N14" s="58"/>
    </row>
    <row r="15" spans="1:14" ht="15.75">
      <c r="A15" s="69" t="s">
        <v>6</v>
      </c>
      <c r="B15" s="44" t="s">
        <v>42</v>
      </c>
      <c r="C15" s="44"/>
      <c r="D15" s="44"/>
      <c r="E15" s="45" t="s">
        <v>75</v>
      </c>
      <c r="F15" s="45">
        <v>6300</v>
      </c>
      <c r="G15" s="46">
        <f>181852/H9/1000</f>
        <v>0.2444247311827957</v>
      </c>
      <c r="H15" s="71">
        <f aca="true" t="shared" si="0" ref="H15:H22">F15/1000-G15</f>
        <v>6.055575268817204</v>
      </c>
      <c r="I15" s="57"/>
      <c r="N15" s="58"/>
    </row>
    <row r="16" spans="1:14" ht="15.75">
      <c r="A16" s="69" t="s">
        <v>7</v>
      </c>
      <c r="B16" s="44" t="s">
        <v>46</v>
      </c>
      <c r="C16" s="44" t="s">
        <v>60</v>
      </c>
      <c r="D16" s="44"/>
      <c r="E16" s="50">
        <v>11.1</v>
      </c>
      <c r="F16" s="45">
        <v>16000</v>
      </c>
      <c r="G16" s="46">
        <f>352933/H9/1000</f>
        <v>0.47437231182795697</v>
      </c>
      <c r="H16" s="71">
        <f t="shared" si="0"/>
        <v>15.525627688172044</v>
      </c>
      <c r="I16" s="57"/>
      <c r="N16" s="58"/>
    </row>
    <row r="17" spans="1:14" ht="15.75">
      <c r="A17" s="69"/>
      <c r="B17" s="44"/>
      <c r="C17" s="44" t="s">
        <v>61</v>
      </c>
      <c r="D17" s="44"/>
      <c r="E17" s="50">
        <v>11.1</v>
      </c>
      <c r="F17" s="45">
        <v>16000</v>
      </c>
      <c r="G17" s="46">
        <f>128086/H9/1000</f>
        <v>0.17215860215053763</v>
      </c>
      <c r="H17" s="71">
        <f t="shared" si="0"/>
        <v>15.827841397849463</v>
      </c>
      <c r="I17" s="57"/>
      <c r="N17" s="58"/>
    </row>
    <row r="18" spans="1:14" ht="15.75">
      <c r="A18" s="69" t="s">
        <v>8</v>
      </c>
      <c r="B18" s="44" t="s">
        <v>47</v>
      </c>
      <c r="C18" s="44" t="s">
        <v>60</v>
      </c>
      <c r="D18" s="44"/>
      <c r="E18" s="45" t="s">
        <v>76</v>
      </c>
      <c r="F18" s="45">
        <v>16000</v>
      </c>
      <c r="G18" s="46">
        <f>182952/H9/1000</f>
        <v>0.2459032258064516</v>
      </c>
      <c r="H18" s="71">
        <f t="shared" si="0"/>
        <v>15.754096774193549</v>
      </c>
      <c r="I18" s="57"/>
      <c r="N18" s="58"/>
    </row>
    <row r="19" spans="1:14" ht="15.75">
      <c r="A19" s="69"/>
      <c r="B19" s="44"/>
      <c r="C19" s="44" t="s">
        <v>61</v>
      </c>
      <c r="D19" s="44"/>
      <c r="E19" s="45" t="s">
        <v>77</v>
      </c>
      <c r="F19" s="45">
        <v>16000</v>
      </c>
      <c r="G19" s="46">
        <f>492516/H9/1000</f>
        <v>0.6619838709677419</v>
      </c>
      <c r="H19" s="71">
        <f t="shared" si="0"/>
        <v>15.338016129032258</v>
      </c>
      <c r="I19" s="57"/>
      <c r="N19" s="58"/>
    </row>
    <row r="20" spans="1:14" ht="15.75">
      <c r="A20" s="69" t="s">
        <v>9</v>
      </c>
      <c r="B20" s="44" t="s">
        <v>43</v>
      </c>
      <c r="C20" s="44" t="s">
        <v>60</v>
      </c>
      <c r="D20" s="44"/>
      <c r="E20" s="45" t="s">
        <v>78</v>
      </c>
      <c r="F20" s="45">
        <v>25000</v>
      </c>
      <c r="G20" s="46">
        <f>1437920/H9/1000</f>
        <v>1.932688172043011</v>
      </c>
      <c r="H20" s="71">
        <f t="shared" si="0"/>
        <v>23.06731182795699</v>
      </c>
      <c r="I20" s="57"/>
      <c r="N20" s="58"/>
    </row>
    <row r="21" spans="1:14" ht="15.75">
      <c r="A21" s="69"/>
      <c r="B21" s="44"/>
      <c r="C21" s="44" t="s">
        <v>61</v>
      </c>
      <c r="D21" s="44"/>
      <c r="E21" s="45" t="s">
        <v>79</v>
      </c>
      <c r="F21" s="45">
        <v>25000</v>
      </c>
      <c r="G21" s="46">
        <f>58872/H9/1000</f>
        <v>0.07912903225806452</v>
      </c>
      <c r="H21" s="71">
        <f t="shared" si="0"/>
        <v>24.920870967741937</v>
      </c>
      <c r="I21" s="57"/>
      <c r="N21" s="58"/>
    </row>
    <row r="22" spans="1:14" ht="15.75">
      <c r="A22" s="69" t="s">
        <v>10</v>
      </c>
      <c r="B22" s="44" t="s">
        <v>44</v>
      </c>
      <c r="C22" s="44" t="s">
        <v>60</v>
      </c>
      <c r="D22" s="44"/>
      <c r="E22" s="45" t="s">
        <v>80</v>
      </c>
      <c r="F22" s="45">
        <v>6300</v>
      </c>
      <c r="G22" s="46">
        <f>25938/H9/1000</f>
        <v>0.03486290322580645</v>
      </c>
      <c r="H22" s="71">
        <f t="shared" si="0"/>
        <v>6.265137096774193</v>
      </c>
      <c r="I22" s="57"/>
      <c r="N22" s="58"/>
    </row>
    <row r="23" spans="1:14" ht="15.75">
      <c r="A23" s="69"/>
      <c r="B23" s="44"/>
      <c r="C23" s="44" t="s">
        <v>61</v>
      </c>
      <c r="D23" s="44"/>
      <c r="E23" s="45" t="s">
        <v>33</v>
      </c>
      <c r="F23" s="45">
        <v>6300</v>
      </c>
      <c r="G23" s="46" t="s">
        <v>35</v>
      </c>
      <c r="H23" s="71"/>
      <c r="I23" s="57"/>
      <c r="N23" s="58"/>
    </row>
    <row r="24" spans="1:14" ht="15.75">
      <c r="A24" s="69" t="s">
        <v>11</v>
      </c>
      <c r="B24" s="44" t="s">
        <v>45</v>
      </c>
      <c r="C24" s="44"/>
      <c r="D24" s="44"/>
      <c r="E24" s="45" t="s">
        <v>81</v>
      </c>
      <c r="F24" s="45">
        <v>16000</v>
      </c>
      <c r="G24" s="46">
        <f>(73524+929544)/H9/1000</f>
        <v>1.3482096774193548</v>
      </c>
      <c r="H24" s="71">
        <f>F24/1000-G24</f>
        <v>14.651790322580645</v>
      </c>
      <c r="I24" s="57"/>
      <c r="N24" s="58"/>
    </row>
    <row r="25" spans="1:14" ht="15.75">
      <c r="A25" s="43"/>
      <c r="B25" s="44"/>
      <c r="C25" s="44"/>
      <c r="D25" s="44"/>
      <c r="E25" s="45" t="s">
        <v>33</v>
      </c>
      <c r="F25" s="45">
        <v>2500</v>
      </c>
      <c r="G25" s="46" t="s">
        <v>35</v>
      </c>
      <c r="H25" s="71"/>
      <c r="I25" s="57"/>
      <c r="N25" s="58"/>
    </row>
    <row r="26" spans="1:14" ht="15.75">
      <c r="A26" s="69" t="s">
        <v>12</v>
      </c>
      <c r="B26" s="44" t="s">
        <v>48</v>
      </c>
      <c r="C26" s="44" t="s">
        <v>175</v>
      </c>
      <c r="D26" s="44"/>
      <c r="E26" s="45" t="s">
        <v>82</v>
      </c>
      <c r="F26" s="45">
        <v>6300</v>
      </c>
      <c r="G26" s="46">
        <f>(411620)/H9/1000</f>
        <v>0.553252688172043</v>
      </c>
      <c r="H26" s="71">
        <f>F26/1000-G26</f>
        <v>5.746747311827956</v>
      </c>
      <c r="I26" s="57"/>
      <c r="N26" s="58"/>
    </row>
    <row r="27" spans="1:14" ht="15.75">
      <c r="A27" s="69"/>
      <c r="B27" s="48" t="s">
        <v>14</v>
      </c>
      <c r="C27" s="48"/>
      <c r="D27" s="48"/>
      <c r="E27" s="45"/>
      <c r="F27" s="45"/>
      <c r="G27" s="46"/>
      <c r="H27" s="71"/>
      <c r="I27" s="57"/>
      <c r="N27" s="58"/>
    </row>
    <row r="28" spans="1:14" ht="15.75">
      <c r="A28" s="69" t="s">
        <v>13</v>
      </c>
      <c r="B28" s="44" t="s">
        <v>49</v>
      </c>
      <c r="C28" s="44" t="s">
        <v>60</v>
      </c>
      <c r="D28" s="44"/>
      <c r="E28" s="50" t="s">
        <v>83</v>
      </c>
      <c r="F28" s="45">
        <v>1000</v>
      </c>
      <c r="G28" s="46">
        <f>71886/H9/1000</f>
        <v>0.09662096774193549</v>
      </c>
      <c r="H28" s="71">
        <f>F28/1000-G28</f>
        <v>0.9033790322580645</v>
      </c>
      <c r="I28" s="57"/>
      <c r="N28" s="58"/>
    </row>
    <row r="29" spans="1:14" ht="15.75">
      <c r="A29" s="69"/>
      <c r="B29" s="44"/>
      <c r="C29" s="44" t="s">
        <v>61</v>
      </c>
      <c r="D29" s="44"/>
      <c r="E29" s="45" t="s">
        <v>33</v>
      </c>
      <c r="F29" s="45">
        <v>6300</v>
      </c>
      <c r="G29" s="46" t="s">
        <v>35</v>
      </c>
      <c r="H29" s="71"/>
      <c r="I29" s="57"/>
      <c r="N29" s="58"/>
    </row>
    <row r="30" spans="1:14" ht="15.75">
      <c r="A30" s="69" t="s">
        <v>15</v>
      </c>
      <c r="B30" s="44" t="s">
        <v>50</v>
      </c>
      <c r="C30" s="44" t="s">
        <v>179</v>
      </c>
      <c r="D30" s="44"/>
      <c r="E30" s="50">
        <v>11.1</v>
      </c>
      <c r="F30" s="45">
        <v>1000</v>
      </c>
      <c r="G30" s="46">
        <f>18022/H9/1000</f>
        <v>0.024223118279569893</v>
      </c>
      <c r="H30" s="71">
        <f>F30/1000-G30</f>
        <v>0.9757768817204301</v>
      </c>
      <c r="I30" s="57"/>
      <c r="N30" s="58"/>
    </row>
    <row r="31" spans="1:14" ht="15.75">
      <c r="A31" s="43" t="s">
        <v>16</v>
      </c>
      <c r="B31" s="44" t="s">
        <v>51</v>
      </c>
      <c r="C31" s="44"/>
      <c r="D31" s="44"/>
      <c r="E31" s="50">
        <v>11.1</v>
      </c>
      <c r="F31" s="45">
        <v>1000</v>
      </c>
      <c r="G31" s="46">
        <v>0</v>
      </c>
      <c r="H31" s="71">
        <f>F31/1000-G31</f>
        <v>1</v>
      </c>
      <c r="I31" s="57"/>
      <c r="N31" s="58"/>
    </row>
    <row r="32" spans="1:14" ht="15.75">
      <c r="A32" s="72" t="s">
        <v>32</v>
      </c>
      <c r="B32" s="73" t="s">
        <v>17</v>
      </c>
      <c r="C32" s="73"/>
      <c r="D32" s="73"/>
      <c r="E32" s="45"/>
      <c r="F32" s="45"/>
      <c r="G32" s="46"/>
      <c r="H32" s="71"/>
      <c r="I32" s="57"/>
      <c r="N32" s="58"/>
    </row>
    <row r="33" spans="1:14" ht="15.75">
      <c r="A33" s="72"/>
      <c r="B33" s="48" t="s">
        <v>4</v>
      </c>
      <c r="C33" s="48"/>
      <c r="D33" s="48"/>
      <c r="E33" s="45"/>
      <c r="F33" s="45"/>
      <c r="G33" s="46"/>
      <c r="H33" s="71"/>
      <c r="I33" s="57"/>
      <c r="N33" s="58"/>
    </row>
    <row r="34" spans="1:14" ht="15.75">
      <c r="A34" s="69" t="s">
        <v>18</v>
      </c>
      <c r="B34" s="44" t="s">
        <v>52</v>
      </c>
      <c r="C34" s="44" t="s">
        <v>60</v>
      </c>
      <c r="D34" s="44"/>
      <c r="E34" s="45" t="s">
        <v>84</v>
      </c>
      <c r="F34" s="45">
        <v>25000</v>
      </c>
      <c r="G34" s="46">
        <f>(6040056)/H9/1000</f>
        <v>8.118354838709678</v>
      </c>
      <c r="H34" s="71">
        <f aca="true" t="shared" si="1" ref="H34:H41">F34/1000-G34</f>
        <v>16.881645161290322</v>
      </c>
      <c r="I34" s="57"/>
      <c r="N34" s="58"/>
    </row>
    <row r="35" spans="1:14" ht="15.75">
      <c r="A35" s="69"/>
      <c r="B35" s="45"/>
      <c r="C35" s="44" t="s">
        <v>61</v>
      </c>
      <c r="D35" s="44"/>
      <c r="E35" s="45" t="s">
        <v>85</v>
      </c>
      <c r="F35" s="45">
        <v>25000</v>
      </c>
      <c r="G35" s="46">
        <f>(8657484)/H9/1000</f>
        <v>11.63640322580645</v>
      </c>
      <c r="H35" s="71">
        <f t="shared" si="1"/>
        <v>13.36359677419355</v>
      </c>
      <c r="I35" s="57"/>
      <c r="N35" s="58"/>
    </row>
    <row r="36" spans="1:14" ht="15.75">
      <c r="A36" s="69" t="s">
        <v>19</v>
      </c>
      <c r="B36" s="44" t="s">
        <v>53</v>
      </c>
      <c r="C36" s="44" t="s">
        <v>60</v>
      </c>
      <c r="D36" s="44"/>
      <c r="E36" s="45" t="s">
        <v>86</v>
      </c>
      <c r="F36" s="45">
        <v>20000</v>
      </c>
      <c r="G36" s="46">
        <f>3142920/H9/1000</f>
        <v>4.224354838709677</v>
      </c>
      <c r="H36" s="71">
        <f t="shared" si="1"/>
        <v>15.775645161290324</v>
      </c>
      <c r="I36" s="57"/>
      <c r="N36" s="58"/>
    </row>
    <row r="37" spans="1:14" ht="15.75">
      <c r="A37" s="69"/>
      <c r="B37" s="45"/>
      <c r="C37" s="44" t="s">
        <v>61</v>
      </c>
      <c r="D37" s="44"/>
      <c r="E37" s="45" t="s">
        <v>87</v>
      </c>
      <c r="F37" s="45">
        <v>25000</v>
      </c>
      <c r="G37" s="46">
        <f>2201760/H9/1000</f>
        <v>2.9593548387096775</v>
      </c>
      <c r="H37" s="71">
        <f t="shared" si="1"/>
        <v>22.04064516129032</v>
      </c>
      <c r="I37" s="57"/>
      <c r="N37" s="58"/>
    </row>
    <row r="38" spans="1:14" ht="15.75">
      <c r="A38" s="69" t="s">
        <v>20</v>
      </c>
      <c r="B38" s="44" t="s">
        <v>54</v>
      </c>
      <c r="C38" s="44" t="s">
        <v>60</v>
      </c>
      <c r="D38" s="44"/>
      <c r="E38" s="45" t="s">
        <v>88</v>
      </c>
      <c r="F38" s="45">
        <v>20000</v>
      </c>
      <c r="G38" s="46">
        <f>4369376/H9/1000</f>
        <v>5.872817204301075</v>
      </c>
      <c r="H38" s="71">
        <f t="shared" si="1"/>
        <v>14.127182795698925</v>
      </c>
      <c r="I38" s="57"/>
      <c r="N38" s="58"/>
    </row>
    <row r="39" spans="1:14" ht="15.75">
      <c r="A39" s="69"/>
      <c r="B39" s="45"/>
      <c r="C39" s="44" t="s">
        <v>61</v>
      </c>
      <c r="D39" s="44"/>
      <c r="E39" s="45" t="s">
        <v>89</v>
      </c>
      <c r="F39" s="45">
        <v>20000</v>
      </c>
      <c r="G39" s="46">
        <f>2292576/H9/1000</f>
        <v>3.08141935483871</v>
      </c>
      <c r="H39" s="71">
        <f t="shared" si="1"/>
        <v>16.918580645161292</v>
      </c>
      <c r="I39" s="57"/>
      <c r="N39" s="58"/>
    </row>
    <row r="40" spans="1:14" ht="15.75">
      <c r="A40" s="72"/>
      <c r="B40" s="44" t="s">
        <v>64</v>
      </c>
      <c r="C40" s="44" t="s">
        <v>62</v>
      </c>
      <c r="D40" s="44"/>
      <c r="E40" s="45" t="s">
        <v>90</v>
      </c>
      <c r="F40" s="45">
        <v>10000</v>
      </c>
      <c r="G40" s="46">
        <f>6888/H9/1000</f>
        <v>0.009258064516129032</v>
      </c>
      <c r="H40" s="71">
        <f t="shared" si="1"/>
        <v>9.990741935483872</v>
      </c>
      <c r="I40" s="57"/>
      <c r="N40" s="58"/>
    </row>
    <row r="41" spans="1:14" ht="15.75">
      <c r="A41" s="69"/>
      <c r="B41" s="44" t="s">
        <v>64</v>
      </c>
      <c r="C41" s="44" t="s">
        <v>63</v>
      </c>
      <c r="D41" s="44"/>
      <c r="E41" s="45" t="s">
        <v>91</v>
      </c>
      <c r="F41" s="45">
        <v>10000</v>
      </c>
      <c r="G41" s="46">
        <f>27573/H9/1000</f>
        <v>0.03706048387096774</v>
      </c>
      <c r="H41" s="71">
        <f t="shared" si="1"/>
        <v>9.962939516129032</v>
      </c>
      <c r="I41" s="57"/>
      <c r="N41" s="58"/>
    </row>
    <row r="42" spans="1:14" ht="15.75">
      <c r="A42" s="69"/>
      <c r="B42" s="48" t="s">
        <v>21</v>
      </c>
      <c r="C42" s="48"/>
      <c r="D42" s="48"/>
      <c r="E42" s="45"/>
      <c r="F42" s="45"/>
      <c r="G42" s="46"/>
      <c r="H42" s="71"/>
      <c r="I42" s="57"/>
      <c r="N42" s="58"/>
    </row>
    <row r="43" spans="1:14" ht="15.75">
      <c r="A43" s="69" t="s">
        <v>22</v>
      </c>
      <c r="B43" s="44" t="s">
        <v>65</v>
      </c>
      <c r="C43" s="44"/>
      <c r="D43" s="44"/>
      <c r="E43" s="45" t="s">
        <v>92</v>
      </c>
      <c r="F43" s="45">
        <v>6300</v>
      </c>
      <c r="G43" s="46">
        <f>9488/H9/1000</f>
        <v>0.01275268817204301</v>
      </c>
      <c r="H43" s="71">
        <f>F43/1000-G43</f>
        <v>6.287247311827957</v>
      </c>
      <c r="I43" s="57"/>
      <c r="N43" s="58"/>
    </row>
    <row r="44" spans="1:14" ht="15.75">
      <c r="A44" s="69" t="s">
        <v>23</v>
      </c>
      <c r="B44" s="44" t="s">
        <v>37</v>
      </c>
      <c r="C44" s="44" t="s">
        <v>176</v>
      </c>
      <c r="D44" s="44"/>
      <c r="E44" s="45" t="s">
        <v>82</v>
      </c>
      <c r="F44" s="45">
        <v>6300</v>
      </c>
      <c r="G44" s="46">
        <f>205216/H9/1000</f>
        <v>0.2758279569892473</v>
      </c>
      <c r="H44" s="71">
        <f>F44/1000-G44</f>
        <v>6.024172043010752</v>
      </c>
      <c r="I44" s="57"/>
      <c r="J44" s="2" t="s">
        <v>177</v>
      </c>
      <c r="L44" s="101"/>
      <c r="N44" s="58"/>
    </row>
    <row r="45" spans="1:14" ht="15.75">
      <c r="A45" s="69"/>
      <c r="B45" s="48" t="s">
        <v>14</v>
      </c>
      <c r="C45" s="48"/>
      <c r="D45" s="48"/>
      <c r="E45" s="45"/>
      <c r="F45" s="45"/>
      <c r="G45" s="46"/>
      <c r="H45" s="71"/>
      <c r="I45" s="57"/>
      <c r="N45" s="58"/>
    </row>
    <row r="46" spans="1:14" ht="15.75">
      <c r="A46" s="69" t="s">
        <v>24</v>
      </c>
      <c r="B46" s="44" t="s">
        <v>55</v>
      </c>
      <c r="C46" s="44"/>
      <c r="D46" s="44"/>
      <c r="E46" s="45" t="s">
        <v>93</v>
      </c>
      <c r="F46" s="45">
        <v>3200</v>
      </c>
      <c r="G46" s="46">
        <f>6504/H9/1000</f>
        <v>0.008741935483870969</v>
      </c>
      <c r="H46" s="71">
        <f>F46/1000-G46</f>
        <v>3.1912580645161293</v>
      </c>
      <c r="I46" s="57"/>
      <c r="N46" s="58"/>
    </row>
    <row r="47" spans="1:14" ht="15.75">
      <c r="A47" s="69" t="s">
        <v>25</v>
      </c>
      <c r="B47" s="44" t="s">
        <v>56</v>
      </c>
      <c r="C47" s="44"/>
      <c r="D47" s="44"/>
      <c r="E47" s="45" t="s">
        <v>94</v>
      </c>
      <c r="F47" s="45">
        <v>3200</v>
      </c>
      <c r="G47" s="46">
        <f>177833/H9/1000</f>
        <v>0.2390228494623656</v>
      </c>
      <c r="H47" s="71">
        <f>F47/1000-G47</f>
        <v>2.9609771505376346</v>
      </c>
      <c r="I47" s="57"/>
      <c r="N47" s="58"/>
    </row>
    <row r="48" spans="1:14" ht="15.75">
      <c r="A48" s="69" t="s">
        <v>26</v>
      </c>
      <c r="B48" s="44" t="s">
        <v>57</v>
      </c>
      <c r="C48" s="44" t="s">
        <v>60</v>
      </c>
      <c r="D48" s="44"/>
      <c r="E48" s="45" t="s">
        <v>33</v>
      </c>
      <c r="F48" s="45">
        <v>2500</v>
      </c>
      <c r="G48" s="46"/>
      <c r="H48" s="71"/>
      <c r="I48" s="57"/>
      <c r="N48" s="58"/>
    </row>
    <row r="49" spans="1:14" ht="15.75">
      <c r="A49" s="69"/>
      <c r="B49" s="44"/>
      <c r="C49" s="44" t="s">
        <v>61</v>
      </c>
      <c r="D49" s="44"/>
      <c r="E49" s="45" t="s">
        <v>95</v>
      </c>
      <c r="F49" s="45">
        <v>2500</v>
      </c>
      <c r="G49" s="46">
        <f>283264/H9/1000</f>
        <v>0.38073118279569895</v>
      </c>
      <c r="H49" s="71">
        <f>F49/1000-G49</f>
        <v>2.119268817204301</v>
      </c>
      <c r="I49" s="57"/>
      <c r="N49" s="58"/>
    </row>
    <row r="50" spans="1:14" ht="15.75">
      <c r="A50" s="69" t="s">
        <v>27</v>
      </c>
      <c r="B50" s="44" t="s">
        <v>181</v>
      </c>
      <c r="C50" s="44" t="s">
        <v>60</v>
      </c>
      <c r="D50" s="44"/>
      <c r="E50" s="45">
        <v>6.62</v>
      </c>
      <c r="F50" s="45">
        <v>1800</v>
      </c>
      <c r="G50" s="46">
        <f>1407/H9/1000</f>
        <v>0.0018911290322580646</v>
      </c>
      <c r="H50" s="71">
        <f>F50/1000-G50</f>
        <v>1.798108870967742</v>
      </c>
      <c r="I50" s="57"/>
      <c r="N50" s="58"/>
    </row>
    <row r="51" spans="1:14" ht="15.75">
      <c r="A51" s="74"/>
      <c r="B51" s="68" t="s">
        <v>180</v>
      </c>
      <c r="C51" s="44" t="s">
        <v>61</v>
      </c>
      <c r="D51" s="44"/>
      <c r="E51" s="45">
        <v>11.1</v>
      </c>
      <c r="F51" s="45">
        <v>1600</v>
      </c>
      <c r="G51" s="46">
        <f>729036/H9/1000</f>
        <v>0.9798870967741935</v>
      </c>
      <c r="H51" s="71">
        <f>F51/1000-G51</f>
        <v>0.6201129032258066</v>
      </c>
      <c r="I51" s="57"/>
      <c r="N51" s="58"/>
    </row>
    <row r="52" spans="1:14" ht="15.75">
      <c r="A52" s="69" t="s">
        <v>28</v>
      </c>
      <c r="B52" s="68" t="s">
        <v>66</v>
      </c>
      <c r="C52" s="44"/>
      <c r="D52" s="44"/>
      <c r="E52" s="45">
        <v>0.4</v>
      </c>
      <c r="F52" s="45">
        <v>560</v>
      </c>
      <c r="G52" s="46">
        <f>32910/H9/1000</f>
        <v>0.04423387096774194</v>
      </c>
      <c r="H52" s="71">
        <f>F52/1000-G52</f>
        <v>0.5157661290322582</v>
      </c>
      <c r="I52" s="57"/>
      <c r="N52" s="58"/>
    </row>
    <row r="53" spans="1:14" ht="15.75">
      <c r="A53" s="51" t="s">
        <v>30</v>
      </c>
      <c r="B53" s="75" t="s">
        <v>67</v>
      </c>
      <c r="C53" s="52"/>
      <c r="D53" s="52"/>
      <c r="E53" s="53">
        <v>0.4</v>
      </c>
      <c r="F53" s="53">
        <v>630</v>
      </c>
      <c r="G53" s="107">
        <f>(4880)/H9/1000</f>
        <v>0.006559139784946237</v>
      </c>
      <c r="H53" s="76">
        <f>F53/1000-G53</f>
        <v>0.6234408602150537</v>
      </c>
      <c r="I53" s="57"/>
      <c r="N53" s="58"/>
    </row>
    <row r="54" spans="1:14" ht="15.75">
      <c r="A54" s="97"/>
      <c r="B54" s="98"/>
      <c r="C54" s="97"/>
      <c r="D54" s="97"/>
      <c r="E54" s="99"/>
      <c r="F54" s="99"/>
      <c r="G54" s="96"/>
      <c r="H54" s="100"/>
      <c r="I54" s="57"/>
      <c r="N54" s="58"/>
    </row>
    <row r="55" spans="1:14" ht="15.75">
      <c r="A55" s="97"/>
      <c r="B55" s="98"/>
      <c r="C55" s="97"/>
      <c r="D55" s="97"/>
      <c r="E55" s="99"/>
      <c r="F55" s="99"/>
      <c r="G55" s="96"/>
      <c r="H55" s="100"/>
      <c r="I55" s="57"/>
      <c r="N55" s="58"/>
    </row>
    <row r="56" spans="1:8" ht="15.75">
      <c r="A56" s="1"/>
      <c r="B56" s="1"/>
      <c r="C56" s="3"/>
      <c r="D56" s="1"/>
      <c r="E56" s="3"/>
      <c r="F56" s="1"/>
      <c r="H56" s="1"/>
    </row>
    <row r="57" spans="1:8" ht="18.75">
      <c r="A57" s="1"/>
      <c r="B57" s="1"/>
      <c r="C57" s="25"/>
      <c r="D57" s="24"/>
      <c r="E57" s="3"/>
      <c r="F57" s="1"/>
      <c r="G57" s="114" t="s">
        <v>108</v>
      </c>
      <c r="H57" s="114"/>
    </row>
    <row r="58" spans="1:8" ht="15.75">
      <c r="A58" s="1"/>
      <c r="B58" s="118" t="s">
        <v>178</v>
      </c>
      <c r="C58" s="119"/>
      <c r="D58" s="119"/>
      <c r="E58" s="119"/>
      <c r="F58" s="119"/>
      <c r="G58" s="119"/>
      <c r="H58" s="119"/>
    </row>
    <row r="59" spans="1:8" ht="18.75">
      <c r="A59" s="1"/>
      <c r="B59" s="26"/>
      <c r="C59" s="27"/>
      <c r="D59" s="26" t="s">
        <v>109</v>
      </c>
      <c r="E59" s="3"/>
      <c r="F59" s="1"/>
      <c r="G59" s="115" t="str">
        <f>G5</f>
        <v>за июль 2022г.</v>
      </c>
      <c r="H59" s="115"/>
    </row>
    <row r="60" spans="1:8" ht="31.5">
      <c r="A60" s="109" t="s">
        <v>2</v>
      </c>
      <c r="B60" s="111" t="s">
        <v>110</v>
      </c>
      <c r="C60" s="28" t="s">
        <v>111</v>
      </c>
      <c r="D60" s="111" t="s">
        <v>112</v>
      </c>
      <c r="E60" s="28" t="s">
        <v>113</v>
      </c>
      <c r="F60" s="29" t="s">
        <v>114</v>
      </c>
      <c r="G60" s="111" t="s">
        <v>115</v>
      </c>
      <c r="H60" s="30" t="s">
        <v>116</v>
      </c>
    </row>
    <row r="61" spans="1:8" ht="15.75">
      <c r="A61" s="110"/>
      <c r="B61" s="112"/>
      <c r="C61" s="31" t="s">
        <v>117</v>
      </c>
      <c r="D61" s="112"/>
      <c r="E61" s="31" t="s">
        <v>118</v>
      </c>
      <c r="F61" s="32" t="s">
        <v>119</v>
      </c>
      <c r="G61" s="113"/>
      <c r="H61" s="31" t="s">
        <v>0</v>
      </c>
    </row>
    <row r="62" spans="1:8" ht="15.75">
      <c r="A62" s="33"/>
      <c r="B62" s="33"/>
      <c r="C62" s="34" t="s">
        <v>120</v>
      </c>
      <c r="D62" s="34" t="s">
        <v>121</v>
      </c>
      <c r="E62" s="34" t="s">
        <v>36</v>
      </c>
      <c r="F62" s="35" t="s">
        <v>40</v>
      </c>
      <c r="G62" s="34" t="s">
        <v>40</v>
      </c>
      <c r="H62" s="34" t="s">
        <v>40</v>
      </c>
    </row>
    <row r="63" spans="1:8" ht="15.75">
      <c r="A63" s="21"/>
      <c r="B63" s="19" t="s">
        <v>122</v>
      </c>
      <c r="C63" s="22"/>
      <c r="D63" s="19"/>
      <c r="E63" s="22"/>
      <c r="F63" s="36"/>
      <c r="G63" s="34"/>
      <c r="H63" s="34"/>
    </row>
    <row r="64" spans="1:8" ht="15.75">
      <c r="A64" s="37" t="s">
        <v>3</v>
      </c>
      <c r="B64" s="38" t="s">
        <v>123</v>
      </c>
      <c r="C64" s="39"/>
      <c r="D64" s="38"/>
      <c r="E64" s="39"/>
      <c r="F64" s="40"/>
      <c r="G64" s="41"/>
      <c r="H64" s="42">
        <f>H9</f>
        <v>744</v>
      </c>
    </row>
    <row r="65" spans="1:8" ht="15.75">
      <c r="A65" s="43"/>
      <c r="B65" s="44" t="s">
        <v>124</v>
      </c>
      <c r="C65" s="45">
        <v>176.7</v>
      </c>
      <c r="D65" s="44" t="s">
        <v>125</v>
      </c>
      <c r="E65" s="45">
        <v>110</v>
      </c>
      <c r="F65" s="45">
        <v>56.5</v>
      </c>
      <c r="G65" s="46">
        <f>3201066/H64/1000</f>
        <v>4.302508064516129</v>
      </c>
      <c r="H65" s="47">
        <f>F65-G65</f>
        <v>52.19749193548387</v>
      </c>
    </row>
    <row r="66" spans="1:8" ht="15.75">
      <c r="A66" s="43"/>
      <c r="B66" s="44" t="s">
        <v>126</v>
      </c>
      <c r="C66" s="45">
        <v>176.7</v>
      </c>
      <c r="D66" s="44" t="s">
        <v>125</v>
      </c>
      <c r="E66" s="45">
        <v>110</v>
      </c>
      <c r="F66" s="45">
        <v>56.5</v>
      </c>
      <c r="G66" s="46">
        <f>8495322/H64/1000</f>
        <v>11.418443548387097</v>
      </c>
      <c r="H66" s="47">
        <f aca="true" t="shared" si="2" ref="H66:H107">F66-G66</f>
        <v>45.081556451612904</v>
      </c>
    </row>
    <row r="67" spans="1:8" ht="15.75">
      <c r="A67" s="43" t="s">
        <v>6</v>
      </c>
      <c r="B67" s="48" t="s">
        <v>127</v>
      </c>
      <c r="C67" s="49"/>
      <c r="D67" s="48"/>
      <c r="E67" s="49"/>
      <c r="F67" s="45"/>
      <c r="G67" s="46"/>
      <c r="H67" s="47"/>
    </row>
    <row r="68" spans="1:14" ht="15.75">
      <c r="A68" s="43"/>
      <c r="B68" s="44" t="s">
        <v>128</v>
      </c>
      <c r="C68" s="45">
        <v>10.26</v>
      </c>
      <c r="D68" s="44" t="s">
        <v>129</v>
      </c>
      <c r="E68" s="45">
        <v>110</v>
      </c>
      <c r="F68" s="45">
        <v>56.5</v>
      </c>
      <c r="G68" s="46">
        <f>(7282000-2155000)/H64/1000</f>
        <v>6.891129032258064</v>
      </c>
      <c r="H68" s="47">
        <f t="shared" si="2"/>
        <v>49.608870967741936</v>
      </c>
      <c r="N68" s="59"/>
    </row>
    <row r="69" spans="1:14" ht="15.75">
      <c r="A69" s="43"/>
      <c r="B69" s="44" t="s">
        <v>130</v>
      </c>
      <c r="C69" s="45">
        <v>10.054</v>
      </c>
      <c r="D69" s="44" t="s">
        <v>129</v>
      </c>
      <c r="E69" s="45">
        <v>110</v>
      </c>
      <c r="F69" s="45">
        <v>56.5</v>
      </c>
      <c r="G69" s="46">
        <f>(7579000-2095000)/H64/1000</f>
        <v>7.370967741935484</v>
      </c>
      <c r="H69" s="47">
        <f t="shared" si="2"/>
        <v>49.12903225806451</v>
      </c>
      <c r="I69" s="57"/>
      <c r="N69" s="59"/>
    </row>
    <row r="70" spans="1:8" ht="15.75">
      <c r="A70" s="43" t="s">
        <v>7</v>
      </c>
      <c r="B70" s="48" t="s">
        <v>131</v>
      </c>
      <c r="C70" s="49"/>
      <c r="D70" s="48"/>
      <c r="E70" s="49"/>
      <c r="F70" s="45"/>
      <c r="G70" s="46"/>
      <c r="H70" s="47">
        <f t="shared" si="2"/>
        <v>0</v>
      </c>
    </row>
    <row r="71" spans="1:8" ht="15.75">
      <c r="A71" s="43"/>
      <c r="B71" s="44" t="s">
        <v>132</v>
      </c>
      <c r="C71" s="45">
        <v>114.9</v>
      </c>
      <c r="D71" s="44" t="s">
        <v>133</v>
      </c>
      <c r="E71" s="45">
        <v>35</v>
      </c>
      <c r="F71" s="45">
        <v>11.4</v>
      </c>
      <c r="G71" s="46">
        <f>67018/H64/1000</f>
        <v>0.09007795698924731</v>
      </c>
      <c r="H71" s="47">
        <f t="shared" si="2"/>
        <v>11.309922043010753</v>
      </c>
    </row>
    <row r="72" spans="1:8" ht="15.75">
      <c r="A72" s="43"/>
      <c r="B72" s="44" t="s">
        <v>134</v>
      </c>
      <c r="C72" s="45">
        <v>67.1</v>
      </c>
      <c r="D72" s="44" t="s">
        <v>135</v>
      </c>
      <c r="E72" s="45">
        <v>35</v>
      </c>
      <c r="F72" s="45">
        <v>14.4</v>
      </c>
      <c r="G72" s="46">
        <f>32984/H64/1000</f>
        <v>0.044333333333333336</v>
      </c>
      <c r="H72" s="47">
        <f t="shared" si="2"/>
        <v>14.355666666666668</v>
      </c>
    </row>
    <row r="73" spans="1:8" ht="15.75">
      <c r="A73" s="43"/>
      <c r="B73" s="44" t="s">
        <v>136</v>
      </c>
      <c r="C73" s="45">
        <v>27.2</v>
      </c>
      <c r="D73" s="44" t="s">
        <v>137</v>
      </c>
      <c r="E73" s="45">
        <v>35</v>
      </c>
      <c r="F73" s="45">
        <v>11.4</v>
      </c>
      <c r="G73" s="46">
        <f>358400/H64/1000</f>
        <v>0.4817204301075269</v>
      </c>
      <c r="H73" s="47">
        <f t="shared" si="2"/>
        <v>10.918279569892473</v>
      </c>
    </row>
    <row r="74" spans="1:8" ht="15.75">
      <c r="A74" s="43"/>
      <c r="B74" s="44" t="s">
        <v>138</v>
      </c>
      <c r="C74" s="45">
        <v>52.7</v>
      </c>
      <c r="D74" s="44" t="s">
        <v>129</v>
      </c>
      <c r="E74" s="45">
        <v>35</v>
      </c>
      <c r="F74" s="45">
        <v>17.9</v>
      </c>
      <c r="G74" s="46">
        <f>740313/H64/1000</f>
        <v>0.9950443548387097</v>
      </c>
      <c r="H74" s="47">
        <f t="shared" si="2"/>
        <v>16.904955645161287</v>
      </c>
    </row>
    <row r="75" spans="1:8" ht="15.75">
      <c r="A75" s="43"/>
      <c r="B75" s="44" t="s">
        <v>139</v>
      </c>
      <c r="C75" s="45">
        <v>4.82</v>
      </c>
      <c r="D75" s="44" t="s">
        <v>140</v>
      </c>
      <c r="E75" s="45">
        <v>35</v>
      </c>
      <c r="F75" s="45">
        <v>17.9</v>
      </c>
      <c r="G75" s="46">
        <f>772128/H64/1000</f>
        <v>1.037806451612903</v>
      </c>
      <c r="H75" s="47">
        <f t="shared" si="2"/>
        <v>16.862193548387097</v>
      </c>
    </row>
    <row r="76" spans="1:8" ht="15.75">
      <c r="A76" s="43"/>
      <c r="B76" s="44" t="s">
        <v>141</v>
      </c>
      <c r="C76" s="45">
        <v>4.82</v>
      </c>
      <c r="D76" s="44" t="s">
        <v>140</v>
      </c>
      <c r="E76" s="45">
        <v>35</v>
      </c>
      <c r="F76" s="45">
        <v>17.9</v>
      </c>
      <c r="G76" s="46">
        <f>215072/H64/1000</f>
        <v>0.2890752688172043</v>
      </c>
      <c r="H76" s="47">
        <f t="shared" si="2"/>
        <v>17.610924731182795</v>
      </c>
    </row>
    <row r="77" spans="1:8" ht="15.75">
      <c r="A77" s="43"/>
      <c r="B77" s="44" t="s">
        <v>142</v>
      </c>
      <c r="C77" s="45">
        <v>22</v>
      </c>
      <c r="D77" s="44" t="s">
        <v>135</v>
      </c>
      <c r="E77" s="45">
        <v>35</v>
      </c>
      <c r="F77" s="45">
        <v>17.9</v>
      </c>
      <c r="G77" s="46">
        <f>202471/H64/1000</f>
        <v>0.27213844086021505</v>
      </c>
      <c r="H77" s="47">
        <f t="shared" si="2"/>
        <v>17.627861559139784</v>
      </c>
    </row>
    <row r="78" spans="1:8" ht="15.75">
      <c r="A78" s="43"/>
      <c r="B78" s="44" t="s">
        <v>143</v>
      </c>
      <c r="C78" s="45">
        <v>22</v>
      </c>
      <c r="D78" s="44" t="s">
        <v>135</v>
      </c>
      <c r="E78" s="45">
        <v>35</v>
      </c>
      <c r="F78" s="45">
        <v>17.9</v>
      </c>
      <c r="G78" s="46">
        <f>391871/H64/1000</f>
        <v>0.5267083333333333</v>
      </c>
      <c r="H78" s="47">
        <f t="shared" si="2"/>
        <v>17.373291666666667</v>
      </c>
    </row>
    <row r="79" spans="1:8" ht="15.75">
      <c r="A79" s="43" t="s">
        <v>8</v>
      </c>
      <c r="B79" s="48" t="s">
        <v>144</v>
      </c>
      <c r="C79" s="49"/>
      <c r="D79" s="48"/>
      <c r="E79" s="45"/>
      <c r="F79" s="45"/>
      <c r="G79" s="46"/>
      <c r="H79" s="47"/>
    </row>
    <row r="80" spans="1:8" ht="15.75">
      <c r="A80" s="43"/>
      <c r="B80" s="44" t="s">
        <v>145</v>
      </c>
      <c r="C80" s="45">
        <v>33.55</v>
      </c>
      <c r="D80" s="44" t="s">
        <v>133</v>
      </c>
      <c r="E80" s="45">
        <v>35</v>
      </c>
      <c r="F80" s="45">
        <v>9.5</v>
      </c>
      <c r="G80" s="46">
        <f>189371/H64/1000</f>
        <v>0.25453091397849464</v>
      </c>
      <c r="H80" s="47">
        <f t="shared" si="2"/>
        <v>9.245469086021505</v>
      </c>
    </row>
    <row r="81" spans="1:8" ht="15.75">
      <c r="A81" s="43"/>
      <c r="B81" s="44" t="s">
        <v>146</v>
      </c>
      <c r="C81" s="45">
        <v>27.7</v>
      </c>
      <c r="D81" s="44" t="s">
        <v>135</v>
      </c>
      <c r="E81" s="45">
        <v>35</v>
      </c>
      <c r="F81" s="45">
        <v>9.5</v>
      </c>
      <c r="G81" s="46">
        <f>61859/H64/1000</f>
        <v>0.08314381720430107</v>
      </c>
      <c r="H81" s="47">
        <f t="shared" si="2"/>
        <v>9.4168561827957</v>
      </c>
    </row>
    <row r="82" spans="1:8" ht="15.75">
      <c r="A82" s="43"/>
      <c r="B82" s="44" t="s">
        <v>147</v>
      </c>
      <c r="C82" s="45">
        <v>18.62</v>
      </c>
      <c r="D82" s="44" t="s">
        <v>137</v>
      </c>
      <c r="E82" s="45">
        <v>35</v>
      </c>
      <c r="F82" s="45">
        <v>11.4</v>
      </c>
      <c r="G82" s="46">
        <f>203847/H64/1000</f>
        <v>0.27398790322580646</v>
      </c>
      <c r="H82" s="47">
        <f t="shared" si="2"/>
        <v>11.126012096774193</v>
      </c>
    </row>
    <row r="83" spans="1:8" ht="15.75">
      <c r="A83" s="43" t="s">
        <v>9</v>
      </c>
      <c r="B83" s="48" t="s">
        <v>148</v>
      </c>
      <c r="C83" s="49"/>
      <c r="D83" s="48"/>
      <c r="E83" s="45"/>
      <c r="F83" s="45"/>
      <c r="G83" s="46"/>
      <c r="H83" s="47"/>
    </row>
    <row r="84" spans="1:8" ht="15.75">
      <c r="A84" s="43"/>
      <c r="B84" s="44" t="s">
        <v>149</v>
      </c>
      <c r="C84" s="45">
        <v>22.5</v>
      </c>
      <c r="D84" s="44" t="s">
        <v>150</v>
      </c>
      <c r="E84" s="45">
        <v>35</v>
      </c>
      <c r="F84" s="45">
        <v>20.7</v>
      </c>
      <c r="G84" s="46">
        <f>297360/H64/1000</f>
        <v>0.3996774193548387</v>
      </c>
      <c r="H84" s="47">
        <f t="shared" si="2"/>
        <v>20.30032258064516</v>
      </c>
    </row>
    <row r="85" spans="1:8" ht="15.75">
      <c r="A85" s="43"/>
      <c r="B85" s="44" t="s">
        <v>151</v>
      </c>
      <c r="C85" s="45">
        <v>19.69</v>
      </c>
      <c r="D85" s="44" t="s">
        <v>129</v>
      </c>
      <c r="E85" s="45">
        <v>35</v>
      </c>
      <c r="F85" s="45">
        <v>20.7</v>
      </c>
      <c r="G85" s="46">
        <f>921060/H64/1000</f>
        <v>1.237983870967742</v>
      </c>
      <c r="H85" s="47">
        <f t="shared" si="2"/>
        <v>19.462016129032257</v>
      </c>
    </row>
    <row r="86" spans="1:8" ht="15.75">
      <c r="A86" s="43" t="s">
        <v>10</v>
      </c>
      <c r="B86" s="48" t="s">
        <v>152</v>
      </c>
      <c r="C86" s="49"/>
      <c r="D86" s="48"/>
      <c r="E86" s="45"/>
      <c r="F86" s="45"/>
      <c r="G86" s="46"/>
      <c r="H86" s="47"/>
    </row>
    <row r="87" spans="1:8" ht="15.75">
      <c r="A87" s="43"/>
      <c r="B87" s="44" t="s">
        <v>153</v>
      </c>
      <c r="C87" s="45">
        <v>11.2</v>
      </c>
      <c r="D87" s="44" t="s">
        <v>137</v>
      </c>
      <c r="E87" s="45">
        <v>35</v>
      </c>
      <c r="F87" s="45">
        <v>11.4</v>
      </c>
      <c r="G87" s="46">
        <f>238770/H64/1000</f>
        <v>0.3209274193548387</v>
      </c>
      <c r="H87" s="47">
        <f t="shared" si="2"/>
        <v>11.079072580645162</v>
      </c>
    </row>
    <row r="88" spans="1:8" ht="15" hidden="1">
      <c r="A88" s="43"/>
      <c r="B88" s="44" t="s">
        <v>154</v>
      </c>
      <c r="C88" s="45">
        <v>12.6</v>
      </c>
      <c r="D88" s="44" t="s">
        <v>137</v>
      </c>
      <c r="E88" s="45">
        <v>35</v>
      </c>
      <c r="F88" s="45">
        <v>11.4</v>
      </c>
      <c r="G88" s="46">
        <v>0</v>
      </c>
      <c r="H88" s="47">
        <f t="shared" si="2"/>
        <v>11.4</v>
      </c>
    </row>
    <row r="89" spans="1:8" ht="15.75">
      <c r="A89" s="43" t="s">
        <v>11</v>
      </c>
      <c r="B89" s="48" t="s">
        <v>155</v>
      </c>
      <c r="C89" s="49"/>
      <c r="D89" s="48"/>
      <c r="E89" s="45"/>
      <c r="F89" s="45"/>
      <c r="G89" s="46"/>
      <c r="H89" s="47">
        <f>F89-G89</f>
        <v>0</v>
      </c>
    </row>
    <row r="90" spans="1:8" ht="15.75">
      <c r="A90" s="43"/>
      <c r="B90" s="44" t="s">
        <v>156</v>
      </c>
      <c r="C90" s="45">
        <v>13.5</v>
      </c>
      <c r="D90" s="44" t="s">
        <v>135</v>
      </c>
      <c r="E90" s="45">
        <v>35</v>
      </c>
      <c r="F90" s="45">
        <v>14.4</v>
      </c>
      <c r="G90" s="46">
        <f>107148/H64/1000</f>
        <v>0.14401612903225808</v>
      </c>
      <c r="H90" s="47">
        <f t="shared" si="2"/>
        <v>14.255983870967743</v>
      </c>
    </row>
    <row r="91" spans="1:8" ht="15.75">
      <c r="A91" s="43" t="s">
        <v>12</v>
      </c>
      <c r="B91" s="48" t="s">
        <v>157</v>
      </c>
      <c r="C91" s="49"/>
      <c r="D91" s="48"/>
      <c r="E91" s="49"/>
      <c r="F91" s="45"/>
      <c r="G91" s="46"/>
      <c r="H91" s="47"/>
    </row>
    <row r="92" spans="1:8" ht="15.75">
      <c r="A92" s="43"/>
      <c r="B92" s="44" t="s">
        <v>158</v>
      </c>
      <c r="C92" s="45">
        <v>42</v>
      </c>
      <c r="D92" s="44" t="s">
        <v>129</v>
      </c>
      <c r="E92" s="45">
        <v>110</v>
      </c>
      <c r="F92" s="45">
        <v>56.5</v>
      </c>
      <c r="G92" s="46">
        <f>655774/H64/1000</f>
        <v>0.8814166666666666</v>
      </c>
      <c r="H92" s="47">
        <f t="shared" si="2"/>
        <v>55.61858333333333</v>
      </c>
    </row>
    <row r="93" spans="1:8" ht="15.75">
      <c r="A93" s="43"/>
      <c r="B93" s="44" t="s">
        <v>159</v>
      </c>
      <c r="C93" s="45">
        <v>63.2</v>
      </c>
      <c r="D93" s="44" t="s">
        <v>150</v>
      </c>
      <c r="E93" s="45">
        <v>110</v>
      </c>
      <c r="F93" s="50">
        <v>65</v>
      </c>
      <c r="G93" s="46">
        <f>187356/H64/1000</f>
        <v>0.2518225806451613</v>
      </c>
      <c r="H93" s="47">
        <f t="shared" si="2"/>
        <v>64.74817741935483</v>
      </c>
    </row>
    <row r="94" spans="1:8" ht="15.75">
      <c r="A94" s="43"/>
      <c r="B94" s="44" t="s">
        <v>160</v>
      </c>
      <c r="C94" s="45">
        <v>49</v>
      </c>
      <c r="D94" s="44" t="s">
        <v>161</v>
      </c>
      <c r="E94" s="45">
        <v>35</v>
      </c>
      <c r="F94" s="45">
        <v>11.4</v>
      </c>
      <c r="G94" s="46">
        <f>924658/H64/1000</f>
        <v>1.2428198924731182</v>
      </c>
      <c r="H94" s="47">
        <f t="shared" si="2"/>
        <v>10.157180107526882</v>
      </c>
    </row>
    <row r="95" spans="1:8" ht="15.75">
      <c r="A95" s="43" t="s">
        <v>13</v>
      </c>
      <c r="B95" s="48" t="s">
        <v>162</v>
      </c>
      <c r="C95" s="49"/>
      <c r="D95" s="48"/>
      <c r="E95" s="45"/>
      <c r="F95" s="45"/>
      <c r="G95" s="46"/>
      <c r="H95" s="47"/>
    </row>
    <row r="96" spans="1:8" ht="15.75">
      <c r="A96" s="43"/>
      <c r="B96" s="44" t="s">
        <v>163</v>
      </c>
      <c r="C96" s="45">
        <v>75.2</v>
      </c>
      <c r="D96" s="44" t="s">
        <v>135</v>
      </c>
      <c r="E96" s="45">
        <v>35</v>
      </c>
      <c r="F96" s="45">
        <v>11.4</v>
      </c>
      <c r="G96" s="46">
        <f>151426/H64/1000</f>
        <v>0.20352956989247312</v>
      </c>
      <c r="H96" s="47">
        <f t="shared" si="2"/>
        <v>11.196470430107528</v>
      </c>
    </row>
    <row r="97" spans="1:8" ht="15.75">
      <c r="A97" s="43" t="s">
        <v>15</v>
      </c>
      <c r="B97" s="48" t="s">
        <v>164</v>
      </c>
      <c r="C97" s="49"/>
      <c r="D97" s="48"/>
      <c r="E97" s="45"/>
      <c r="F97" s="45"/>
      <c r="G97" s="46"/>
      <c r="H97" s="47"/>
    </row>
    <row r="98" spans="1:8" ht="15">
      <c r="A98" s="43"/>
      <c r="B98" s="44" t="s">
        <v>165</v>
      </c>
      <c r="C98" s="45">
        <v>56.26</v>
      </c>
      <c r="D98" s="44" t="s">
        <v>129</v>
      </c>
      <c r="E98" s="45">
        <v>110</v>
      </c>
      <c r="F98" s="45">
        <v>56.5</v>
      </c>
      <c r="G98" s="46">
        <f>26774/H64/1000</f>
        <v>0.03598655913978494</v>
      </c>
      <c r="H98" s="47">
        <f t="shared" si="2"/>
        <v>56.464013440860214</v>
      </c>
    </row>
    <row r="99" spans="1:8" ht="15">
      <c r="A99" s="43"/>
      <c r="B99" s="44" t="s">
        <v>166</v>
      </c>
      <c r="C99" s="45">
        <v>75.5</v>
      </c>
      <c r="D99" s="44" t="s">
        <v>125</v>
      </c>
      <c r="E99" s="45">
        <v>110</v>
      </c>
      <c r="F99" s="45">
        <v>56.5</v>
      </c>
      <c r="G99" s="46">
        <f>417186/H64/1000</f>
        <v>0.560733870967742</v>
      </c>
      <c r="H99" s="47">
        <f t="shared" si="2"/>
        <v>55.939266129032255</v>
      </c>
    </row>
    <row r="100" spans="1:8" ht="15">
      <c r="A100" s="43"/>
      <c r="B100" s="44" t="s">
        <v>167</v>
      </c>
      <c r="C100" s="45">
        <v>95.9</v>
      </c>
      <c r="D100" s="44" t="s">
        <v>161</v>
      </c>
      <c r="E100" s="45">
        <v>35</v>
      </c>
      <c r="F100" s="45">
        <v>11.4</v>
      </c>
      <c r="G100" s="46">
        <f>99876/H64/1000</f>
        <v>0.13424193548387098</v>
      </c>
      <c r="H100" s="47">
        <f t="shared" si="2"/>
        <v>11.26575806451613</v>
      </c>
    </row>
    <row r="101" spans="1:8" ht="15">
      <c r="A101" s="43" t="s">
        <v>16</v>
      </c>
      <c r="B101" s="48" t="s">
        <v>168</v>
      </c>
      <c r="C101" s="49"/>
      <c r="D101" s="48"/>
      <c r="E101" s="45"/>
      <c r="F101" s="45"/>
      <c r="G101" s="46"/>
      <c r="H101" s="47"/>
    </row>
    <row r="102" spans="1:8" ht="15">
      <c r="A102" s="43"/>
      <c r="B102" s="44" t="s">
        <v>167</v>
      </c>
      <c r="C102" s="45">
        <v>43.3</v>
      </c>
      <c r="D102" s="44" t="s">
        <v>129</v>
      </c>
      <c r="E102" s="45">
        <v>35</v>
      </c>
      <c r="F102" s="45">
        <v>17.9</v>
      </c>
      <c r="G102" s="46">
        <f>0/H64/1000</f>
        <v>0</v>
      </c>
      <c r="H102" s="47">
        <f t="shared" si="2"/>
        <v>17.9</v>
      </c>
    </row>
    <row r="103" spans="1:8" ht="15">
      <c r="A103" s="43" t="s">
        <v>18</v>
      </c>
      <c r="B103" s="48" t="s">
        <v>169</v>
      </c>
      <c r="C103" s="49"/>
      <c r="D103" s="48"/>
      <c r="E103" s="45"/>
      <c r="F103" s="45"/>
      <c r="G103" s="46"/>
      <c r="H103" s="47"/>
    </row>
    <row r="104" spans="1:8" ht="15">
      <c r="A104" s="43"/>
      <c r="B104" s="44" t="s">
        <v>170</v>
      </c>
      <c r="C104" s="45">
        <v>42</v>
      </c>
      <c r="D104" s="44" t="s">
        <v>135</v>
      </c>
      <c r="E104" s="45">
        <v>35</v>
      </c>
      <c r="F104" s="45">
        <v>14.4</v>
      </c>
      <c r="G104" s="46">
        <f>3/H64/1000</f>
        <v>4.032258064516129E-06</v>
      </c>
      <c r="H104" s="47">
        <f t="shared" si="2"/>
        <v>14.399995967741935</v>
      </c>
    </row>
    <row r="105" spans="1:8" ht="15">
      <c r="A105" s="43"/>
      <c r="B105" s="44" t="s">
        <v>171</v>
      </c>
      <c r="C105" s="45">
        <v>37</v>
      </c>
      <c r="D105" s="44" t="s">
        <v>135</v>
      </c>
      <c r="E105" s="45">
        <v>35</v>
      </c>
      <c r="F105" s="45">
        <v>14.4</v>
      </c>
      <c r="G105" s="46">
        <f>24724/H64/1000</f>
        <v>0.03323118279569893</v>
      </c>
      <c r="H105" s="47">
        <f t="shared" si="2"/>
        <v>14.366768817204301</v>
      </c>
    </row>
    <row r="106" spans="1:8" ht="15">
      <c r="A106" s="43"/>
      <c r="B106" s="44" t="s">
        <v>166</v>
      </c>
      <c r="C106" s="45"/>
      <c r="D106" s="44" t="s">
        <v>135</v>
      </c>
      <c r="E106" s="45">
        <v>35</v>
      </c>
      <c r="F106" s="45">
        <v>14.4</v>
      </c>
      <c r="G106" s="46">
        <f>297766/H64/1000</f>
        <v>0.4002231182795699</v>
      </c>
      <c r="H106" s="47">
        <f t="shared" si="2"/>
        <v>13.99977688172043</v>
      </c>
    </row>
    <row r="107" spans="1:8" ht="15">
      <c r="A107" s="51"/>
      <c r="B107" s="52" t="s">
        <v>172</v>
      </c>
      <c r="C107" s="53">
        <v>91</v>
      </c>
      <c r="D107" s="52" t="s">
        <v>173</v>
      </c>
      <c r="E107" s="53">
        <v>35</v>
      </c>
      <c r="F107" s="53">
        <v>17.9</v>
      </c>
      <c r="G107" s="107">
        <f>63497/H64/1000</f>
        <v>0.08534543010752688</v>
      </c>
      <c r="H107" s="54">
        <f t="shared" si="2"/>
        <v>17.814654569892472</v>
      </c>
    </row>
    <row r="108" spans="2:6" ht="15">
      <c r="B108" s="1"/>
      <c r="C108" s="1"/>
      <c r="D108" s="1"/>
      <c r="E108" s="102"/>
      <c r="F108" s="1"/>
    </row>
  </sheetData>
  <sheetProtection/>
  <mergeCells count="9">
    <mergeCell ref="G5:H5"/>
    <mergeCell ref="A60:A61"/>
    <mergeCell ref="B60:B61"/>
    <mergeCell ref="D60:D61"/>
    <mergeCell ref="G60:G61"/>
    <mergeCell ref="G57:H57"/>
    <mergeCell ref="G59:H59"/>
    <mergeCell ref="G6:G7"/>
    <mergeCell ref="B58:H58"/>
  </mergeCells>
  <printOptions horizontalCentered="1" verticalCentered="1"/>
  <pageMargins left="0.7874015748031497" right="0.1968503937007874" top="0.7874015748031497" bottom="0.3937007874015748" header="0" footer="0"/>
  <pageSetup fitToHeight="2"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7"/>
  <sheetViews>
    <sheetView tabSelected="1" zoomScalePageLayoutView="0" workbookViewId="0" topLeftCell="A1">
      <selection activeCell="I8" sqref="I8"/>
    </sheetView>
  </sheetViews>
  <sheetFormatPr defaultColWidth="9.125" defaultRowHeight="12.75"/>
  <cols>
    <col min="1" max="1" width="7.00390625" style="103" customWidth="1"/>
    <col min="2" max="2" width="20.875" style="104" customWidth="1"/>
    <col min="3" max="3" width="13.875" style="104" customWidth="1"/>
    <col min="4" max="4" width="23.50390625" style="104" customWidth="1"/>
    <col min="5" max="5" width="15.25390625" style="103" customWidth="1"/>
    <col min="6" max="6" width="15.125" style="104" customWidth="1"/>
    <col min="7" max="7" width="15.125" style="105" customWidth="1"/>
    <col min="8" max="8" width="16.625" style="106" customWidth="1"/>
    <col min="9" max="16384" width="10.875" style="104" customWidth="1"/>
  </cols>
  <sheetData>
    <row r="1" spans="1:8" ht="15">
      <c r="A1" s="120" t="s">
        <v>183</v>
      </c>
      <c r="B1" s="120"/>
      <c r="C1" s="120"/>
      <c r="D1" s="120"/>
      <c r="E1" s="120"/>
      <c r="F1" s="120"/>
      <c r="G1" s="120"/>
      <c r="H1" s="120"/>
    </row>
    <row r="2" spans="1:8" ht="15">
      <c r="A2" s="120" t="s">
        <v>97</v>
      </c>
      <c r="B2" s="120"/>
      <c r="C2" s="120"/>
      <c r="D2" s="120"/>
      <c r="E2" s="120"/>
      <c r="F2" s="120"/>
      <c r="G2" s="120"/>
      <c r="H2" s="120"/>
    </row>
    <row r="4" spans="1:8" ht="15">
      <c r="A4" s="120" t="s">
        <v>98</v>
      </c>
      <c r="B4" s="120"/>
      <c r="C4" s="120"/>
      <c r="D4" s="120"/>
      <c r="E4" s="120"/>
      <c r="F4" s="120"/>
      <c r="G4" s="120"/>
      <c r="H4" s="120"/>
    </row>
    <row r="6" spans="1:11" ht="15">
      <c r="A6" s="121" t="s">
        <v>184</v>
      </c>
      <c r="B6" s="121"/>
      <c r="C6" s="121"/>
      <c r="D6" s="121"/>
      <c r="E6" s="121"/>
      <c r="F6" s="121"/>
      <c r="G6" s="121"/>
      <c r="H6" s="121"/>
      <c r="I6" s="122"/>
      <c r="J6" s="122"/>
      <c r="K6" s="122"/>
    </row>
    <row r="7" spans="1:11" ht="15">
      <c r="A7" s="123"/>
      <c r="B7" s="124" t="s">
        <v>185</v>
      </c>
      <c r="C7" s="122"/>
      <c r="D7" s="122"/>
      <c r="E7" s="123"/>
      <c r="F7" s="122"/>
      <c r="I7" s="122"/>
      <c r="J7" s="122"/>
      <c r="K7" s="122"/>
    </row>
    <row r="8" spans="1:11" s="128" customFormat="1" ht="77.25">
      <c r="A8" s="125" t="s">
        <v>186</v>
      </c>
      <c r="B8" s="125" t="s">
        <v>187</v>
      </c>
      <c r="C8" s="125" t="s">
        <v>100</v>
      </c>
      <c r="D8" s="125" t="s">
        <v>188</v>
      </c>
      <c r="E8" s="125" t="s">
        <v>189</v>
      </c>
      <c r="F8" s="125" t="s">
        <v>190</v>
      </c>
      <c r="G8" s="126" t="s">
        <v>191</v>
      </c>
      <c r="H8" s="126" t="s">
        <v>192</v>
      </c>
      <c r="I8" s="127"/>
      <c r="J8" s="127"/>
      <c r="K8" s="127"/>
    </row>
    <row r="9" spans="1:11" ht="15">
      <c r="A9" s="129">
        <v>1</v>
      </c>
      <c r="B9" s="130" t="s">
        <v>193</v>
      </c>
      <c r="C9" s="131" t="s">
        <v>194</v>
      </c>
      <c r="D9" s="131" t="s">
        <v>195</v>
      </c>
      <c r="E9" s="129" t="s">
        <v>196</v>
      </c>
      <c r="F9" s="131">
        <v>25000</v>
      </c>
      <c r="G9" s="132">
        <v>0</v>
      </c>
      <c r="H9" s="133" t="s">
        <v>197</v>
      </c>
      <c r="I9" s="122"/>
      <c r="J9" s="122"/>
      <c r="K9" s="122"/>
    </row>
    <row r="10" spans="1:11" ht="15">
      <c r="A10" s="134"/>
      <c r="B10" s="135"/>
      <c r="C10" s="136" t="s">
        <v>198</v>
      </c>
      <c r="D10" s="136" t="s">
        <v>195</v>
      </c>
      <c r="E10" s="134" t="s">
        <v>196</v>
      </c>
      <c r="F10" s="136">
        <v>25000</v>
      </c>
      <c r="G10" s="137">
        <v>0</v>
      </c>
      <c r="H10" s="138" t="s">
        <v>197</v>
      </c>
      <c r="I10" s="122"/>
      <c r="J10" s="122"/>
      <c r="K10" s="122"/>
    </row>
    <row r="11" spans="1:11" ht="15">
      <c r="A11" s="139"/>
      <c r="B11" s="140"/>
      <c r="C11" s="141" t="s">
        <v>199</v>
      </c>
      <c r="D11" s="141" t="s">
        <v>195</v>
      </c>
      <c r="E11" s="139" t="s">
        <v>200</v>
      </c>
      <c r="F11" s="141">
        <v>2500</v>
      </c>
      <c r="G11" s="137">
        <f>9975/744000</f>
        <v>0.013407258064516129</v>
      </c>
      <c r="H11" s="142">
        <f>F11/1000-G11</f>
        <v>2.486592741935484</v>
      </c>
      <c r="I11" s="122"/>
      <c r="J11" s="122"/>
      <c r="K11" s="122"/>
    </row>
    <row r="12" spans="1:11" ht="15">
      <c r="A12" s="129">
        <v>2</v>
      </c>
      <c r="B12" s="130" t="s">
        <v>201</v>
      </c>
      <c r="C12" s="131" t="s">
        <v>194</v>
      </c>
      <c r="D12" s="131" t="s">
        <v>202</v>
      </c>
      <c r="E12" s="129" t="s">
        <v>203</v>
      </c>
      <c r="F12" s="131">
        <v>16000</v>
      </c>
      <c r="G12" s="132">
        <f>1098174/744000</f>
        <v>1.476040322580645</v>
      </c>
      <c r="H12" s="133">
        <f aca="true" t="shared" si="0" ref="H12:H49">F12/1000-G12</f>
        <v>14.523959677419356</v>
      </c>
      <c r="I12" s="122"/>
      <c r="J12" s="122"/>
      <c r="K12" s="122"/>
    </row>
    <row r="13" spans="1:11" ht="15">
      <c r="A13" s="139"/>
      <c r="B13" s="140"/>
      <c r="C13" s="141" t="s">
        <v>198</v>
      </c>
      <c r="D13" s="141" t="s">
        <v>202</v>
      </c>
      <c r="E13" s="139" t="s">
        <v>203</v>
      </c>
      <c r="F13" s="141">
        <v>16000</v>
      </c>
      <c r="G13" s="143">
        <f>1335180/744000</f>
        <v>1.7945967741935485</v>
      </c>
      <c r="H13" s="142">
        <f t="shared" si="0"/>
        <v>14.205403225806451</v>
      </c>
      <c r="I13" s="122"/>
      <c r="J13" s="122"/>
      <c r="K13" s="122"/>
    </row>
    <row r="14" spans="1:11" ht="15">
      <c r="A14" s="144">
        <v>3</v>
      </c>
      <c r="B14" s="145" t="s">
        <v>204</v>
      </c>
      <c r="C14" s="31" t="s">
        <v>194</v>
      </c>
      <c r="D14" s="34" t="s">
        <v>195</v>
      </c>
      <c r="E14" s="144" t="s">
        <v>203</v>
      </c>
      <c r="F14" s="34">
        <v>10000</v>
      </c>
      <c r="G14" s="146">
        <f>14480/744000</f>
        <v>0.01946236559139785</v>
      </c>
      <c r="H14" s="147">
        <f t="shared" si="0"/>
        <v>9.980537634408602</v>
      </c>
      <c r="I14" s="122"/>
      <c r="J14" s="122"/>
      <c r="K14" s="122"/>
    </row>
    <row r="15" spans="1:11" ht="15">
      <c r="A15" s="148">
        <v>4</v>
      </c>
      <c r="B15" s="33" t="s">
        <v>205</v>
      </c>
      <c r="C15" s="34" t="s">
        <v>194</v>
      </c>
      <c r="D15" s="95" t="s">
        <v>195</v>
      </c>
      <c r="E15" s="148" t="s">
        <v>203</v>
      </c>
      <c r="F15" s="95">
        <v>10000</v>
      </c>
      <c r="G15" s="149">
        <f>9720/744000</f>
        <v>0.013064516129032259</v>
      </c>
      <c r="H15" s="150">
        <f t="shared" si="0"/>
        <v>9.986935483870967</v>
      </c>
      <c r="I15" s="122"/>
      <c r="J15" s="122"/>
      <c r="K15" s="122"/>
    </row>
    <row r="16" spans="1:11" ht="15">
      <c r="A16" s="129">
        <v>5</v>
      </c>
      <c r="B16" s="130" t="s">
        <v>206</v>
      </c>
      <c r="C16" s="131" t="s">
        <v>194</v>
      </c>
      <c r="D16" s="131" t="s">
        <v>207</v>
      </c>
      <c r="E16" s="129" t="s">
        <v>203</v>
      </c>
      <c r="F16" s="131">
        <v>40000</v>
      </c>
      <c r="G16" s="132">
        <f>1347720/744000</f>
        <v>1.8114516129032259</v>
      </c>
      <c r="H16" s="133">
        <f t="shared" si="0"/>
        <v>38.18854838709677</v>
      </c>
      <c r="I16" s="122"/>
      <c r="J16" s="122"/>
      <c r="K16" s="122"/>
    </row>
    <row r="17" spans="1:11" ht="15">
      <c r="A17" s="139"/>
      <c r="B17" s="140"/>
      <c r="C17" s="141" t="s">
        <v>198</v>
      </c>
      <c r="D17" s="141" t="s">
        <v>207</v>
      </c>
      <c r="E17" s="139" t="s">
        <v>208</v>
      </c>
      <c r="F17" s="141">
        <v>5600</v>
      </c>
      <c r="G17" s="143">
        <f>(874636+142800+3680+1720)/744000</f>
        <v>1.3747795698924732</v>
      </c>
      <c r="H17" s="142">
        <f t="shared" si="0"/>
        <v>4.225220430107527</v>
      </c>
      <c r="I17" s="122"/>
      <c r="J17" s="122"/>
      <c r="K17" s="122"/>
    </row>
    <row r="18" spans="1:11" ht="15">
      <c r="A18" s="129">
        <v>6</v>
      </c>
      <c r="B18" s="130" t="s">
        <v>209</v>
      </c>
      <c r="C18" s="131" t="s">
        <v>194</v>
      </c>
      <c r="D18" s="131" t="s">
        <v>210</v>
      </c>
      <c r="E18" s="129" t="s">
        <v>211</v>
      </c>
      <c r="F18" s="131">
        <v>20000</v>
      </c>
      <c r="G18" s="151">
        <v>0</v>
      </c>
      <c r="H18" s="133" t="s">
        <v>197</v>
      </c>
      <c r="I18" s="122"/>
      <c r="J18" s="122"/>
      <c r="K18" s="122"/>
    </row>
    <row r="19" spans="1:11" ht="15">
      <c r="A19" s="134"/>
      <c r="B19" s="135"/>
      <c r="C19" s="136" t="s">
        <v>198</v>
      </c>
      <c r="D19" s="136"/>
      <c r="E19" s="134" t="s">
        <v>211</v>
      </c>
      <c r="F19" s="136">
        <v>20000</v>
      </c>
      <c r="G19" s="137">
        <f>179940/744000</f>
        <v>0.24185483870967742</v>
      </c>
      <c r="H19" s="138">
        <f>F19/1000-G19</f>
        <v>19.758145161290322</v>
      </c>
      <c r="I19" s="122"/>
      <c r="J19" s="122"/>
      <c r="K19" s="122"/>
    </row>
    <row r="20" spans="1:11" ht="15">
      <c r="A20" s="139"/>
      <c r="B20" s="140"/>
      <c r="C20" s="141" t="s">
        <v>199</v>
      </c>
      <c r="D20" s="141"/>
      <c r="E20" s="139" t="s">
        <v>203</v>
      </c>
      <c r="F20" s="141">
        <v>10000</v>
      </c>
      <c r="G20" s="143">
        <f>502460/744000</f>
        <v>0.6753494623655913</v>
      </c>
      <c r="H20" s="142">
        <f t="shared" si="0"/>
        <v>9.324650537634408</v>
      </c>
      <c r="I20" s="122"/>
      <c r="J20" s="122"/>
      <c r="K20" s="122"/>
    </row>
    <row r="21" spans="1:11" ht="15">
      <c r="A21" s="129">
        <v>7</v>
      </c>
      <c r="B21" s="130" t="s">
        <v>212</v>
      </c>
      <c r="C21" s="131" t="s">
        <v>194</v>
      </c>
      <c r="D21" s="131" t="s">
        <v>202</v>
      </c>
      <c r="E21" s="129" t="s">
        <v>211</v>
      </c>
      <c r="F21" s="131">
        <v>16000</v>
      </c>
      <c r="G21" s="151">
        <f>58110/744000</f>
        <v>0.07810483870967742</v>
      </c>
      <c r="H21" s="138">
        <f t="shared" si="0"/>
        <v>15.921895161290323</v>
      </c>
      <c r="I21" s="122"/>
      <c r="J21" s="122"/>
      <c r="K21" s="122"/>
    </row>
    <row r="22" spans="1:11" ht="15">
      <c r="A22" s="139"/>
      <c r="B22" s="140"/>
      <c r="C22" s="141" t="s">
        <v>198</v>
      </c>
      <c r="D22" s="141"/>
      <c r="E22" s="139" t="s">
        <v>211</v>
      </c>
      <c r="F22" s="141">
        <v>16000</v>
      </c>
      <c r="G22" s="143">
        <f>43530/744000</f>
        <v>0.058508064516129034</v>
      </c>
      <c r="H22" s="138">
        <f t="shared" si="0"/>
        <v>15.941491935483871</v>
      </c>
      <c r="I22" s="122"/>
      <c r="J22" s="122"/>
      <c r="K22" s="122"/>
    </row>
    <row r="23" spans="1:11" ht="15">
      <c r="A23" s="148">
        <v>8</v>
      </c>
      <c r="B23" s="33" t="s">
        <v>213</v>
      </c>
      <c r="C23" s="34" t="s">
        <v>194</v>
      </c>
      <c r="D23" s="45" t="s">
        <v>214</v>
      </c>
      <c r="E23" s="148" t="s">
        <v>211</v>
      </c>
      <c r="F23" s="45">
        <v>2500</v>
      </c>
      <c r="G23" s="149">
        <f>35100/744000</f>
        <v>0.04717741935483871</v>
      </c>
      <c r="H23" s="150">
        <f t="shared" si="0"/>
        <v>2.452822580645161</v>
      </c>
      <c r="I23" s="122"/>
      <c r="J23" s="122"/>
      <c r="K23" s="122"/>
    </row>
    <row r="24" spans="1:11" ht="15">
      <c r="A24" s="129">
        <v>9</v>
      </c>
      <c r="B24" s="130" t="s">
        <v>215</v>
      </c>
      <c r="C24" s="131" t="s">
        <v>194</v>
      </c>
      <c r="D24" s="131" t="s">
        <v>216</v>
      </c>
      <c r="E24" s="129" t="s">
        <v>203</v>
      </c>
      <c r="F24" s="131">
        <v>6300</v>
      </c>
      <c r="G24" s="152">
        <v>0</v>
      </c>
      <c r="H24" s="153" t="s">
        <v>197</v>
      </c>
      <c r="I24" s="122"/>
      <c r="J24" s="122"/>
      <c r="K24" s="122"/>
    </row>
    <row r="25" spans="1:11" ht="15">
      <c r="A25" s="139"/>
      <c r="B25" s="140"/>
      <c r="C25" s="141" t="s">
        <v>198</v>
      </c>
      <c r="D25" s="141"/>
      <c r="E25" s="139" t="s">
        <v>203</v>
      </c>
      <c r="F25" s="141">
        <v>6300</v>
      </c>
      <c r="G25" s="143">
        <f>(433584+217560)/744000</f>
        <v>0.8751935483870967</v>
      </c>
      <c r="H25" s="142">
        <f t="shared" si="0"/>
        <v>5.424806451612903</v>
      </c>
      <c r="I25" s="122"/>
      <c r="J25" s="122"/>
      <c r="K25" s="122"/>
    </row>
    <row r="26" spans="1:11" ht="15">
      <c r="A26" s="129">
        <v>10</v>
      </c>
      <c r="B26" s="130" t="s">
        <v>217</v>
      </c>
      <c r="C26" s="131" t="s">
        <v>194</v>
      </c>
      <c r="D26" s="131" t="s">
        <v>202</v>
      </c>
      <c r="E26" s="129" t="s">
        <v>211</v>
      </c>
      <c r="F26" s="131">
        <v>16000</v>
      </c>
      <c r="G26" s="151">
        <f>813930/744000</f>
        <v>1.093991935483871</v>
      </c>
      <c r="H26" s="138">
        <f>F26/1000-G26</f>
        <v>14.90600806451613</v>
      </c>
      <c r="I26" s="122"/>
      <c r="J26" s="122"/>
      <c r="K26" s="122"/>
    </row>
    <row r="27" spans="1:11" ht="15">
      <c r="A27" s="139"/>
      <c r="B27" s="140"/>
      <c r="C27" s="141" t="s">
        <v>198</v>
      </c>
      <c r="D27" s="141"/>
      <c r="E27" s="139" t="s">
        <v>211</v>
      </c>
      <c r="F27" s="141">
        <v>16000</v>
      </c>
      <c r="G27" s="143">
        <f>125250/7444000</f>
        <v>0.01682563138097797</v>
      </c>
      <c r="H27" s="138">
        <f>F27/1000-G27</f>
        <v>15.983174368619022</v>
      </c>
      <c r="I27" s="122"/>
      <c r="J27" s="122"/>
      <c r="K27" s="122"/>
    </row>
    <row r="28" spans="1:11" ht="46.5">
      <c r="A28" s="148">
        <v>11</v>
      </c>
      <c r="B28" s="33" t="s">
        <v>218</v>
      </c>
      <c r="C28" s="34" t="s">
        <v>194</v>
      </c>
      <c r="D28" s="154" t="s">
        <v>219</v>
      </c>
      <c r="E28" s="148" t="s">
        <v>211</v>
      </c>
      <c r="F28" s="34">
        <v>2500</v>
      </c>
      <c r="G28" s="149">
        <f>14304/744000</f>
        <v>0.019225806451612905</v>
      </c>
      <c r="H28" s="150">
        <f t="shared" si="0"/>
        <v>2.480774193548387</v>
      </c>
      <c r="I28" s="122"/>
      <c r="J28" s="122"/>
      <c r="K28" s="122"/>
    </row>
    <row r="29" spans="1:11" ht="15">
      <c r="A29" s="148">
        <v>12</v>
      </c>
      <c r="B29" s="33" t="s">
        <v>220</v>
      </c>
      <c r="C29" s="34" t="s">
        <v>194</v>
      </c>
      <c r="D29" s="95" t="s">
        <v>221</v>
      </c>
      <c r="E29" s="148" t="s">
        <v>211</v>
      </c>
      <c r="F29" s="95">
        <v>2500</v>
      </c>
      <c r="G29" s="149">
        <f>35188/744000</f>
        <v>0.047295698924731185</v>
      </c>
      <c r="H29" s="150">
        <f t="shared" si="0"/>
        <v>2.452704301075269</v>
      </c>
      <c r="I29" s="122"/>
      <c r="J29" s="122"/>
      <c r="K29" s="122"/>
    </row>
    <row r="30" spans="1:11" ht="15">
      <c r="A30" s="129">
        <v>13</v>
      </c>
      <c r="B30" s="130" t="s">
        <v>222</v>
      </c>
      <c r="C30" s="131" t="s">
        <v>194</v>
      </c>
      <c r="D30" s="131" t="s">
        <v>223</v>
      </c>
      <c r="E30" s="129" t="s">
        <v>203</v>
      </c>
      <c r="F30" s="131">
        <v>40000</v>
      </c>
      <c r="G30" s="151">
        <f>42/744000</f>
        <v>5.6451612903225804E-05</v>
      </c>
      <c r="H30" s="155">
        <f t="shared" si="0"/>
        <v>39.999943548387094</v>
      </c>
      <c r="I30" s="122"/>
      <c r="J30" s="122"/>
      <c r="K30" s="122"/>
    </row>
    <row r="31" spans="1:11" ht="15">
      <c r="A31" s="139"/>
      <c r="B31" s="140"/>
      <c r="C31" s="141" t="s">
        <v>198</v>
      </c>
      <c r="D31" s="141"/>
      <c r="E31" s="139" t="s">
        <v>203</v>
      </c>
      <c r="F31" s="141">
        <v>20000</v>
      </c>
      <c r="G31" s="143">
        <f>(6681654+119400)/744000</f>
        <v>9.141201612903226</v>
      </c>
      <c r="H31" s="142">
        <f>F31/1000-G31</f>
        <v>10.858798387096774</v>
      </c>
      <c r="I31" s="122"/>
      <c r="J31" s="122"/>
      <c r="K31" s="122"/>
    </row>
    <row r="32" spans="1:11" ht="61.5">
      <c r="A32" s="129">
        <v>14</v>
      </c>
      <c r="B32" s="130" t="s">
        <v>224</v>
      </c>
      <c r="C32" s="131" t="s">
        <v>194</v>
      </c>
      <c r="D32" s="156" t="s">
        <v>225</v>
      </c>
      <c r="E32" s="129" t="s">
        <v>211</v>
      </c>
      <c r="F32" s="131">
        <v>10000</v>
      </c>
      <c r="G32" s="152">
        <v>0</v>
      </c>
      <c r="H32" s="133" t="s">
        <v>197</v>
      </c>
      <c r="I32" s="122"/>
      <c r="J32" s="122"/>
      <c r="K32" s="122"/>
    </row>
    <row r="33" spans="1:11" ht="15">
      <c r="A33" s="139"/>
      <c r="B33" s="140"/>
      <c r="C33" s="141" t="s">
        <v>198</v>
      </c>
      <c r="D33" s="141"/>
      <c r="E33" s="139" t="s">
        <v>211</v>
      </c>
      <c r="F33" s="141">
        <v>10000</v>
      </c>
      <c r="G33" s="143">
        <f>654444/744000</f>
        <v>0.8796290322580645</v>
      </c>
      <c r="H33" s="142">
        <f t="shared" si="0"/>
        <v>9.120370967741936</v>
      </c>
      <c r="I33" s="122"/>
      <c r="J33" s="122"/>
      <c r="K33" s="122"/>
    </row>
    <row r="34" spans="1:11" ht="15">
      <c r="A34" s="148">
        <v>15</v>
      </c>
      <c r="B34" s="33" t="s">
        <v>226</v>
      </c>
      <c r="C34" s="34" t="s">
        <v>194</v>
      </c>
      <c r="D34" s="45" t="s">
        <v>227</v>
      </c>
      <c r="E34" s="148" t="s">
        <v>228</v>
      </c>
      <c r="F34" s="45">
        <v>6300</v>
      </c>
      <c r="G34" s="149">
        <f>69552/744000</f>
        <v>0.09348387096774194</v>
      </c>
      <c r="H34" s="150">
        <f t="shared" si="0"/>
        <v>6.2065161290322575</v>
      </c>
      <c r="I34" s="122"/>
      <c r="J34" s="122"/>
      <c r="K34" s="122"/>
    </row>
    <row r="35" spans="1:11" ht="77.25">
      <c r="A35" s="129">
        <v>16</v>
      </c>
      <c r="B35" s="130" t="s">
        <v>229</v>
      </c>
      <c r="C35" s="131" t="s">
        <v>194</v>
      </c>
      <c r="D35" s="156" t="s">
        <v>230</v>
      </c>
      <c r="E35" s="129" t="s">
        <v>211</v>
      </c>
      <c r="F35" s="131">
        <v>6300</v>
      </c>
      <c r="G35" s="132">
        <v>0</v>
      </c>
      <c r="H35" s="133" t="s">
        <v>197</v>
      </c>
      <c r="I35" s="122"/>
      <c r="J35" s="122"/>
      <c r="K35" s="122"/>
    </row>
    <row r="36" spans="1:11" ht="15">
      <c r="A36" s="139"/>
      <c r="B36" s="140"/>
      <c r="C36" s="141" t="s">
        <v>198</v>
      </c>
      <c r="D36" s="141"/>
      <c r="E36" s="157" t="s">
        <v>231</v>
      </c>
      <c r="F36" s="141">
        <v>10000</v>
      </c>
      <c r="G36" s="143">
        <v>0</v>
      </c>
      <c r="H36" s="142" t="s">
        <v>197</v>
      </c>
      <c r="I36" s="122"/>
      <c r="J36" s="122"/>
      <c r="K36" s="122"/>
    </row>
    <row r="37" spans="1:11" ht="15">
      <c r="A37" s="129">
        <v>17</v>
      </c>
      <c r="B37" s="130" t="s">
        <v>232</v>
      </c>
      <c r="C37" s="131" t="s">
        <v>194</v>
      </c>
      <c r="D37" s="131" t="s">
        <v>233</v>
      </c>
      <c r="E37" s="129" t="s">
        <v>208</v>
      </c>
      <c r="F37" s="131">
        <v>5600</v>
      </c>
      <c r="G37" s="151">
        <f>55832/744000</f>
        <v>0.07504301075268817</v>
      </c>
      <c r="H37" s="155">
        <f t="shared" si="0"/>
        <v>5.524956989247311</v>
      </c>
      <c r="I37" s="122"/>
      <c r="J37" s="122"/>
      <c r="K37" s="122"/>
    </row>
    <row r="38" spans="1:11" ht="15">
      <c r="A38" s="139"/>
      <c r="B38" s="140"/>
      <c r="C38" s="141" t="s">
        <v>198</v>
      </c>
      <c r="D38" s="141"/>
      <c r="E38" s="139" t="s">
        <v>208</v>
      </c>
      <c r="F38" s="141">
        <v>5600</v>
      </c>
      <c r="G38" s="143">
        <v>0</v>
      </c>
      <c r="H38" s="142" t="s">
        <v>197</v>
      </c>
      <c r="I38" s="122"/>
      <c r="J38" s="122"/>
      <c r="K38" s="122"/>
    </row>
    <row r="39" spans="1:11" ht="15">
      <c r="A39" s="148">
        <v>18</v>
      </c>
      <c r="B39" s="33" t="s">
        <v>234</v>
      </c>
      <c r="C39" s="34" t="s">
        <v>194</v>
      </c>
      <c r="D39" s="45" t="s">
        <v>233</v>
      </c>
      <c r="E39" s="148" t="s">
        <v>208</v>
      </c>
      <c r="F39" s="45">
        <v>560</v>
      </c>
      <c r="G39" s="149">
        <f>17606/744000</f>
        <v>0.023663978494623657</v>
      </c>
      <c r="H39" s="150">
        <f t="shared" si="0"/>
        <v>0.5363360215053764</v>
      </c>
      <c r="I39" s="122"/>
      <c r="J39" s="122"/>
      <c r="K39" s="122"/>
    </row>
    <row r="40" spans="1:11" ht="15">
      <c r="A40" s="129">
        <v>19</v>
      </c>
      <c r="B40" s="130" t="s">
        <v>235</v>
      </c>
      <c r="C40" s="131" t="s">
        <v>194</v>
      </c>
      <c r="D40" s="131" t="s">
        <v>207</v>
      </c>
      <c r="E40" s="129" t="s">
        <v>208</v>
      </c>
      <c r="F40" s="131">
        <v>2500</v>
      </c>
      <c r="G40" s="152">
        <f>1370/744000</f>
        <v>0.0018413978494623655</v>
      </c>
      <c r="H40" s="153">
        <f t="shared" si="0"/>
        <v>2.4981586021505375</v>
      </c>
      <c r="I40" s="122"/>
      <c r="J40" s="122"/>
      <c r="K40" s="122"/>
    </row>
    <row r="41" spans="1:11" ht="15">
      <c r="A41" s="139"/>
      <c r="B41" s="140"/>
      <c r="C41" s="141" t="s">
        <v>198</v>
      </c>
      <c r="D41" s="141" t="s">
        <v>207</v>
      </c>
      <c r="E41" s="139" t="s">
        <v>208</v>
      </c>
      <c r="F41" s="141">
        <v>2500</v>
      </c>
      <c r="G41" s="143">
        <f>825/744000</f>
        <v>0.0011088709677419355</v>
      </c>
      <c r="H41" s="142">
        <f t="shared" si="0"/>
        <v>2.498891129032258</v>
      </c>
      <c r="I41" s="122"/>
      <c r="J41" s="122"/>
      <c r="K41" s="122"/>
    </row>
    <row r="42" spans="1:11" ht="15">
      <c r="A42" s="148">
        <v>20</v>
      </c>
      <c r="B42" s="33" t="s">
        <v>236</v>
      </c>
      <c r="C42" s="34" t="s">
        <v>194</v>
      </c>
      <c r="D42" s="34" t="s">
        <v>195</v>
      </c>
      <c r="E42" s="148" t="s">
        <v>208</v>
      </c>
      <c r="F42" s="34">
        <v>1600</v>
      </c>
      <c r="G42" s="149">
        <f>73721/744000</f>
        <v>0.09908736559139784</v>
      </c>
      <c r="H42" s="150">
        <f t="shared" si="0"/>
        <v>1.5009126344086023</v>
      </c>
      <c r="I42" s="122"/>
      <c r="J42" s="122"/>
      <c r="K42" s="122"/>
    </row>
    <row r="43" spans="1:11" ht="15">
      <c r="A43" s="148">
        <v>21</v>
      </c>
      <c r="B43" s="33" t="s">
        <v>237</v>
      </c>
      <c r="C43" s="34" t="s">
        <v>194</v>
      </c>
      <c r="D43" s="34" t="s">
        <v>238</v>
      </c>
      <c r="E43" s="148" t="s">
        <v>208</v>
      </c>
      <c r="F43" s="34">
        <v>6300</v>
      </c>
      <c r="G43" s="149">
        <f>(124553+127505)/744000</f>
        <v>0.33878763440860216</v>
      </c>
      <c r="H43" s="150">
        <f t="shared" si="0"/>
        <v>5.961212365591398</v>
      </c>
      <c r="I43" s="122"/>
      <c r="J43" s="122"/>
      <c r="K43" s="122"/>
    </row>
    <row r="44" spans="1:11" ht="46.5">
      <c r="A44" s="129">
        <v>22</v>
      </c>
      <c r="B44" s="130" t="s">
        <v>239</v>
      </c>
      <c r="C44" s="131" t="s">
        <v>194</v>
      </c>
      <c r="D44" s="156" t="s">
        <v>240</v>
      </c>
      <c r="E44" s="129" t="s">
        <v>208</v>
      </c>
      <c r="F44" s="131">
        <v>4000</v>
      </c>
      <c r="G44" s="132">
        <f>352686/744000</f>
        <v>0.47404032258064516</v>
      </c>
      <c r="H44" s="133">
        <f t="shared" si="0"/>
        <v>3.5259596774193547</v>
      </c>
      <c r="I44" s="122"/>
      <c r="J44" s="122"/>
      <c r="K44" s="122"/>
    </row>
    <row r="45" spans="1:11" ht="15">
      <c r="A45" s="139"/>
      <c r="B45" s="140"/>
      <c r="C45" s="141" t="s">
        <v>198</v>
      </c>
      <c r="D45" s="141"/>
      <c r="E45" s="139" t="s">
        <v>208</v>
      </c>
      <c r="F45" s="141">
        <v>4000</v>
      </c>
      <c r="G45" s="143">
        <v>0</v>
      </c>
      <c r="H45" s="142" t="s">
        <v>197</v>
      </c>
      <c r="I45" s="122"/>
      <c r="J45" s="122"/>
      <c r="K45" s="122"/>
    </row>
    <row r="46" spans="1:11" ht="15">
      <c r="A46" s="129">
        <v>23</v>
      </c>
      <c r="B46" s="130" t="s">
        <v>241</v>
      </c>
      <c r="C46" s="131" t="s">
        <v>194</v>
      </c>
      <c r="D46" s="131" t="s">
        <v>242</v>
      </c>
      <c r="E46" s="129" t="s">
        <v>208</v>
      </c>
      <c r="F46" s="131">
        <v>4000</v>
      </c>
      <c r="G46" s="152">
        <f>258153/744000</f>
        <v>0.3469798387096774</v>
      </c>
      <c r="H46" s="152">
        <f>F46/1000-G46</f>
        <v>3.6530201612903226</v>
      </c>
      <c r="I46" s="122"/>
      <c r="J46" s="122"/>
      <c r="K46" s="122"/>
    </row>
    <row r="47" spans="1:11" ht="15">
      <c r="A47" s="139"/>
      <c r="B47" s="140"/>
      <c r="C47" s="141" t="s">
        <v>198</v>
      </c>
      <c r="D47" s="141"/>
      <c r="E47" s="139" t="s">
        <v>208</v>
      </c>
      <c r="F47" s="141">
        <v>4000</v>
      </c>
      <c r="G47" s="143">
        <v>0</v>
      </c>
      <c r="H47" s="142" t="s">
        <v>197</v>
      </c>
      <c r="I47" s="122"/>
      <c r="J47" s="122"/>
      <c r="K47" s="122"/>
    </row>
    <row r="48" spans="1:11" ht="15">
      <c r="A48" s="148">
        <v>24</v>
      </c>
      <c r="B48" s="33" t="s">
        <v>243</v>
      </c>
      <c r="C48" s="34" t="s">
        <v>194</v>
      </c>
      <c r="D48" s="34" t="s">
        <v>244</v>
      </c>
      <c r="E48" s="148" t="s">
        <v>245</v>
      </c>
      <c r="F48" s="34"/>
      <c r="G48" s="149">
        <v>0</v>
      </c>
      <c r="H48" s="150" t="s">
        <v>246</v>
      </c>
      <c r="I48" s="122"/>
      <c r="J48" s="122"/>
      <c r="K48" s="122"/>
    </row>
    <row r="49" spans="1:11" ht="15">
      <c r="A49" s="148">
        <v>25</v>
      </c>
      <c r="B49" s="33" t="s">
        <v>247</v>
      </c>
      <c r="C49" s="34" t="s">
        <v>194</v>
      </c>
      <c r="D49" s="34" t="s">
        <v>248</v>
      </c>
      <c r="E49" s="148" t="s">
        <v>208</v>
      </c>
      <c r="F49" s="34">
        <v>1000</v>
      </c>
      <c r="G49" s="149">
        <f>66570/744000</f>
        <v>0.0894758064516129</v>
      </c>
      <c r="H49" s="150">
        <f t="shared" si="0"/>
        <v>0.9105241935483871</v>
      </c>
      <c r="I49" s="122"/>
      <c r="J49" s="122"/>
      <c r="K49" s="122"/>
    </row>
    <row r="50" spans="1:11" ht="15">
      <c r="A50" s="148">
        <v>26</v>
      </c>
      <c r="B50" s="33" t="s">
        <v>249</v>
      </c>
      <c r="C50" s="34" t="s">
        <v>194</v>
      </c>
      <c r="D50" s="34" t="s">
        <v>207</v>
      </c>
      <c r="E50" s="148" t="s">
        <v>200</v>
      </c>
      <c r="F50" s="34">
        <v>2500</v>
      </c>
      <c r="G50" s="149">
        <v>0</v>
      </c>
      <c r="H50" s="150" t="s">
        <v>197</v>
      </c>
      <c r="I50" s="122"/>
      <c r="J50" s="122"/>
      <c r="K50" s="122"/>
    </row>
    <row r="51" spans="1:11" ht="15">
      <c r="A51" s="123"/>
      <c r="B51" s="122"/>
      <c r="C51" s="122"/>
      <c r="D51" s="122"/>
      <c r="E51" s="123"/>
      <c r="F51" s="122"/>
      <c r="I51" s="122"/>
      <c r="J51" s="122"/>
      <c r="K51" s="122"/>
    </row>
    <row r="52" spans="1:11" ht="15">
      <c r="A52" s="121" t="s">
        <v>250</v>
      </c>
      <c r="B52" s="121"/>
      <c r="C52" s="121"/>
      <c r="D52" s="121"/>
      <c r="E52" s="121"/>
      <c r="F52" s="121"/>
      <c r="G52" s="121"/>
      <c r="H52" s="121"/>
      <c r="I52" s="122"/>
      <c r="J52" s="122"/>
      <c r="K52" s="122"/>
    </row>
    <row r="53" spans="1:11" ht="15">
      <c r="A53" s="123"/>
      <c r="B53" s="122"/>
      <c r="C53" s="122"/>
      <c r="D53" s="122"/>
      <c r="E53" s="123"/>
      <c r="F53" s="122"/>
      <c r="I53" s="122"/>
      <c r="J53" s="122"/>
      <c r="K53" s="122"/>
    </row>
    <row r="54" spans="1:11" ht="108">
      <c r="A54" s="125" t="s">
        <v>186</v>
      </c>
      <c r="B54" s="125" t="s">
        <v>251</v>
      </c>
      <c r="C54" s="125" t="s">
        <v>252</v>
      </c>
      <c r="D54" s="125" t="s">
        <v>253</v>
      </c>
      <c r="E54" s="125" t="s">
        <v>189</v>
      </c>
      <c r="F54" s="125" t="s">
        <v>254</v>
      </c>
      <c r="G54" s="126" t="s">
        <v>255</v>
      </c>
      <c r="H54" s="126" t="s">
        <v>192</v>
      </c>
      <c r="I54" s="122"/>
      <c r="J54" s="122"/>
      <c r="K54" s="122"/>
    </row>
    <row r="55" spans="1:11" ht="15">
      <c r="A55" s="148"/>
      <c r="B55" s="158" t="s">
        <v>256</v>
      </c>
      <c r="C55" s="33"/>
      <c r="D55" s="34"/>
      <c r="E55" s="158"/>
      <c r="F55" s="34"/>
      <c r="G55" s="149"/>
      <c r="H55" s="150"/>
      <c r="I55" s="122"/>
      <c r="J55" s="122"/>
      <c r="K55" s="122"/>
    </row>
    <row r="56" spans="1:11" ht="15">
      <c r="A56" s="129">
        <v>1</v>
      </c>
      <c r="B56" s="130" t="s">
        <v>257</v>
      </c>
      <c r="C56" s="159">
        <v>3.3</v>
      </c>
      <c r="D56" s="160">
        <v>120</v>
      </c>
      <c r="E56" s="131">
        <v>110</v>
      </c>
      <c r="F56" s="161">
        <f>1.73*115*330/1000</f>
        <v>65.6535</v>
      </c>
      <c r="G56" s="137">
        <f>2913/744000</f>
        <v>0.003915322580645161</v>
      </c>
      <c r="H56" s="162">
        <f aca="true" t="shared" si="1" ref="H56:H108">F56-G56</f>
        <v>65.64958467741936</v>
      </c>
      <c r="I56" s="122"/>
      <c r="J56" s="122"/>
      <c r="K56" s="122"/>
    </row>
    <row r="57" spans="1:11" ht="15">
      <c r="A57" s="134">
        <v>2</v>
      </c>
      <c r="B57" s="135" t="s">
        <v>258</v>
      </c>
      <c r="C57" s="163">
        <v>217.4</v>
      </c>
      <c r="D57" s="164">
        <v>150</v>
      </c>
      <c r="E57" s="136">
        <v>110</v>
      </c>
      <c r="F57" s="162">
        <f>1.73*115*445/1000</f>
        <v>88.53275</v>
      </c>
      <c r="G57" s="137">
        <f>2584738/744000</f>
        <v>3.4741102150537633</v>
      </c>
      <c r="H57" s="162">
        <f t="shared" si="1"/>
        <v>85.05863978494622</v>
      </c>
      <c r="I57" s="122"/>
      <c r="J57" s="122"/>
      <c r="K57" s="122"/>
    </row>
    <row r="58" spans="1:11" ht="15">
      <c r="A58" s="134">
        <v>3</v>
      </c>
      <c r="B58" s="135" t="s">
        <v>259</v>
      </c>
      <c r="C58" s="163">
        <v>217.4</v>
      </c>
      <c r="D58" s="164">
        <v>150</v>
      </c>
      <c r="E58" s="136">
        <v>110</v>
      </c>
      <c r="F58" s="162">
        <f>1.73*115*445/1000</f>
        <v>88.53275</v>
      </c>
      <c r="G58" s="137">
        <f>405357/744000</f>
        <v>0.5448346774193549</v>
      </c>
      <c r="H58" s="162">
        <f t="shared" si="1"/>
        <v>87.98791532258063</v>
      </c>
      <c r="I58" s="122"/>
      <c r="J58" s="122"/>
      <c r="K58" s="122"/>
    </row>
    <row r="59" spans="1:11" ht="15">
      <c r="A59" s="134">
        <v>4</v>
      </c>
      <c r="B59" s="135" t="s">
        <v>260</v>
      </c>
      <c r="C59" s="165">
        <v>17.3</v>
      </c>
      <c r="D59" s="164" t="s">
        <v>261</v>
      </c>
      <c r="E59" s="136">
        <v>110</v>
      </c>
      <c r="F59" s="162">
        <f>1.73*115*445/1000</f>
        <v>88.53275</v>
      </c>
      <c r="G59" s="137">
        <f>4571118/744000</f>
        <v>6.143975806451613</v>
      </c>
      <c r="H59" s="162">
        <f t="shared" si="1"/>
        <v>82.38877419354839</v>
      </c>
      <c r="I59" s="122"/>
      <c r="J59" s="122"/>
      <c r="K59" s="122"/>
    </row>
    <row r="60" spans="1:11" ht="15">
      <c r="A60" s="134">
        <v>5</v>
      </c>
      <c r="B60" s="135" t="s">
        <v>262</v>
      </c>
      <c r="C60" s="163">
        <v>17.3</v>
      </c>
      <c r="D60" s="164" t="s">
        <v>261</v>
      </c>
      <c r="E60" s="136">
        <v>110</v>
      </c>
      <c r="F60" s="162">
        <f>1.73*115*445/1000</f>
        <v>88.53275</v>
      </c>
      <c r="G60" s="137">
        <f>2414278/744000</f>
        <v>3.244997311827957</v>
      </c>
      <c r="H60" s="162">
        <f t="shared" si="1"/>
        <v>85.28775268817203</v>
      </c>
      <c r="I60" s="122"/>
      <c r="J60" s="122"/>
      <c r="K60" s="122"/>
    </row>
    <row r="61" spans="1:11" ht="15">
      <c r="A61" s="134">
        <v>6</v>
      </c>
      <c r="B61" s="135" t="s">
        <v>263</v>
      </c>
      <c r="C61" s="163">
        <v>47.1</v>
      </c>
      <c r="D61" s="164">
        <v>120</v>
      </c>
      <c r="E61" s="136">
        <v>110</v>
      </c>
      <c r="F61" s="162">
        <f>1.73*115*445/1000</f>
        <v>88.53275</v>
      </c>
      <c r="G61" s="137">
        <f>682319/744000</f>
        <v>0.9170954301075269</v>
      </c>
      <c r="H61" s="162">
        <f t="shared" si="1"/>
        <v>87.61565456989247</v>
      </c>
      <c r="I61" s="122"/>
      <c r="J61" s="122"/>
      <c r="K61" s="122"/>
    </row>
    <row r="62" spans="1:11" ht="15">
      <c r="A62" s="134">
        <v>7</v>
      </c>
      <c r="B62" s="135" t="s">
        <v>264</v>
      </c>
      <c r="C62" s="163">
        <v>36.9</v>
      </c>
      <c r="D62" s="164">
        <v>120</v>
      </c>
      <c r="E62" s="136">
        <v>110</v>
      </c>
      <c r="F62" s="162">
        <f>1.73*115*380/1000</f>
        <v>75.601</v>
      </c>
      <c r="G62" s="137">
        <f>1544591/744000</f>
        <v>2.076063172043011</v>
      </c>
      <c r="H62" s="162">
        <f t="shared" si="1"/>
        <v>73.52493682795699</v>
      </c>
      <c r="I62" s="122"/>
      <c r="J62" s="122"/>
      <c r="K62" s="122"/>
    </row>
    <row r="63" spans="1:11" ht="15">
      <c r="A63" s="134">
        <v>8</v>
      </c>
      <c r="B63" s="135" t="s">
        <v>265</v>
      </c>
      <c r="C63" s="165">
        <v>39.32</v>
      </c>
      <c r="D63" s="164">
        <v>185</v>
      </c>
      <c r="E63" s="136">
        <v>110</v>
      </c>
      <c r="F63" s="162">
        <f>1.73*115*510/1000</f>
        <v>101.4645</v>
      </c>
      <c r="G63" s="137">
        <f>6969267/744000</f>
        <v>9.367294354838709</v>
      </c>
      <c r="H63" s="162">
        <f t="shared" si="1"/>
        <v>92.0972056451613</v>
      </c>
      <c r="I63" s="122"/>
      <c r="J63" s="122"/>
      <c r="K63" s="122"/>
    </row>
    <row r="64" spans="1:11" ht="15">
      <c r="A64" s="134">
        <v>9</v>
      </c>
      <c r="B64" s="135" t="s">
        <v>266</v>
      </c>
      <c r="C64" s="163">
        <v>172.4</v>
      </c>
      <c r="D64" s="164">
        <v>185</v>
      </c>
      <c r="E64" s="136">
        <v>110</v>
      </c>
      <c r="F64" s="162">
        <f>1.73*115*510/1000</f>
        <v>101.4645</v>
      </c>
      <c r="G64" s="137">
        <f>2493078/744000</f>
        <v>3.3509112903225806</v>
      </c>
      <c r="H64" s="162">
        <f t="shared" si="1"/>
        <v>98.11358870967742</v>
      </c>
      <c r="I64" s="122"/>
      <c r="J64" s="122"/>
      <c r="K64" s="122"/>
    </row>
    <row r="65" spans="1:11" ht="15">
      <c r="A65" s="134">
        <v>10</v>
      </c>
      <c r="B65" s="135" t="s">
        <v>267</v>
      </c>
      <c r="C65" s="163">
        <v>3.35</v>
      </c>
      <c r="D65" s="164">
        <v>120</v>
      </c>
      <c r="E65" s="136">
        <v>110</v>
      </c>
      <c r="F65" s="162">
        <f>1.73*115*380/1000</f>
        <v>75.601</v>
      </c>
      <c r="G65" s="137">
        <f>6935584/744000</f>
        <v>9.322021505376345</v>
      </c>
      <c r="H65" s="162">
        <f t="shared" si="1"/>
        <v>66.27897849462366</v>
      </c>
      <c r="I65" s="122"/>
      <c r="J65" s="122"/>
      <c r="K65" s="122"/>
    </row>
    <row r="66" spans="1:11" ht="15">
      <c r="A66" s="139">
        <v>11</v>
      </c>
      <c r="B66" s="140" t="s">
        <v>268</v>
      </c>
      <c r="C66" s="166">
        <v>19</v>
      </c>
      <c r="D66" s="167">
        <v>35</v>
      </c>
      <c r="E66" s="141">
        <v>35</v>
      </c>
      <c r="F66" s="168">
        <f>1.73*37*175/1000</f>
        <v>11.20175</v>
      </c>
      <c r="G66" s="143">
        <f>276386/744000</f>
        <v>0.37148655913978496</v>
      </c>
      <c r="H66" s="168">
        <f t="shared" si="1"/>
        <v>10.830263440860216</v>
      </c>
      <c r="I66" s="122"/>
      <c r="J66" s="122"/>
      <c r="K66" s="122"/>
    </row>
    <row r="67" spans="1:11" ht="15">
      <c r="A67" s="148"/>
      <c r="B67" s="158" t="s">
        <v>269</v>
      </c>
      <c r="C67" s="169"/>
      <c r="D67" s="170"/>
      <c r="E67" s="158"/>
      <c r="F67" s="171"/>
      <c r="G67" s="149"/>
      <c r="H67" s="171"/>
      <c r="I67" s="122"/>
      <c r="J67" s="122"/>
      <c r="K67" s="122"/>
    </row>
    <row r="68" spans="1:11" ht="15">
      <c r="A68" s="129">
        <v>12</v>
      </c>
      <c r="B68" s="130" t="s">
        <v>270</v>
      </c>
      <c r="C68" s="172">
        <v>89.5</v>
      </c>
      <c r="D68" s="160">
        <v>120</v>
      </c>
      <c r="E68" s="131">
        <v>110</v>
      </c>
      <c r="F68" s="161">
        <f>1.73*115*380/1000</f>
        <v>75.601</v>
      </c>
      <c r="G68" s="132">
        <f>140994/744000</f>
        <v>0.18950806451612903</v>
      </c>
      <c r="H68" s="173">
        <f t="shared" si="1"/>
        <v>75.41149193548387</v>
      </c>
      <c r="I68" s="122"/>
      <c r="J68" s="122"/>
      <c r="K68" s="122"/>
    </row>
    <row r="69" spans="1:11" ht="15">
      <c r="A69" s="134">
        <v>13</v>
      </c>
      <c r="B69" s="135" t="s">
        <v>271</v>
      </c>
      <c r="C69" s="163">
        <v>118.61</v>
      </c>
      <c r="D69" s="164">
        <v>120</v>
      </c>
      <c r="E69" s="136">
        <v>110</v>
      </c>
      <c r="F69" s="162">
        <f>1.73*115*380/1000</f>
        <v>75.601</v>
      </c>
      <c r="G69" s="137">
        <v>0</v>
      </c>
      <c r="H69" s="173" t="s">
        <v>197</v>
      </c>
      <c r="I69" s="122"/>
      <c r="J69" s="122"/>
      <c r="K69" s="122"/>
    </row>
    <row r="70" spans="1:11" ht="15">
      <c r="A70" s="139">
        <v>14</v>
      </c>
      <c r="B70" s="140" t="s">
        <v>272</v>
      </c>
      <c r="C70" s="166">
        <v>90.5</v>
      </c>
      <c r="D70" s="167">
        <v>120</v>
      </c>
      <c r="E70" s="141">
        <v>110</v>
      </c>
      <c r="F70" s="168">
        <f>1.73*115*380/1000</f>
        <v>75.601</v>
      </c>
      <c r="G70" s="143">
        <f>640426/744000</f>
        <v>0.8607876344086022</v>
      </c>
      <c r="H70" s="168">
        <f t="shared" si="1"/>
        <v>74.7402123655914</v>
      </c>
      <c r="I70" s="122"/>
      <c r="J70" s="122"/>
      <c r="K70" s="122"/>
    </row>
    <row r="71" spans="1:11" ht="15">
      <c r="A71" s="148"/>
      <c r="B71" s="158" t="s">
        <v>273</v>
      </c>
      <c r="C71" s="174"/>
      <c r="D71" s="170"/>
      <c r="E71" s="158"/>
      <c r="F71" s="171"/>
      <c r="G71" s="149"/>
      <c r="H71" s="171"/>
      <c r="I71" s="122"/>
      <c r="J71" s="122"/>
      <c r="K71" s="122"/>
    </row>
    <row r="72" spans="1:11" ht="15">
      <c r="A72" s="129">
        <v>15</v>
      </c>
      <c r="B72" s="130" t="s">
        <v>274</v>
      </c>
      <c r="C72" s="159">
        <v>51</v>
      </c>
      <c r="D72" s="160">
        <v>185</v>
      </c>
      <c r="E72" s="131">
        <v>110</v>
      </c>
      <c r="F72" s="161">
        <f>1.73*115*510/1000</f>
        <v>101.4645</v>
      </c>
      <c r="G72" s="132">
        <f>5879072/744000</f>
        <v>7.9019784946236555</v>
      </c>
      <c r="H72" s="161">
        <f t="shared" si="1"/>
        <v>93.56252150537634</v>
      </c>
      <c r="I72" s="122"/>
      <c r="J72" s="122"/>
      <c r="K72" s="122"/>
    </row>
    <row r="73" spans="1:11" ht="15">
      <c r="A73" s="139">
        <v>16</v>
      </c>
      <c r="B73" s="140" t="s">
        <v>275</v>
      </c>
      <c r="C73" s="175">
        <v>2.26</v>
      </c>
      <c r="D73" s="167">
        <v>70</v>
      </c>
      <c r="E73" s="141">
        <v>35</v>
      </c>
      <c r="F73" s="168">
        <f>1.73*37*265/1000</f>
        <v>16.96265</v>
      </c>
      <c r="G73" s="143">
        <f>912882/744000</f>
        <v>1.226991935483871</v>
      </c>
      <c r="H73" s="168">
        <f t="shared" si="1"/>
        <v>15.735658064516128</v>
      </c>
      <c r="I73" s="122"/>
      <c r="J73" s="122"/>
      <c r="K73" s="122"/>
    </row>
    <row r="74" spans="1:11" ht="15">
      <c r="A74" s="148"/>
      <c r="B74" s="158" t="s">
        <v>276</v>
      </c>
      <c r="C74" s="169"/>
      <c r="D74" s="170"/>
      <c r="E74" s="158"/>
      <c r="F74" s="171"/>
      <c r="G74" s="149"/>
      <c r="H74" s="171"/>
      <c r="I74" s="122"/>
      <c r="J74" s="122"/>
      <c r="K74" s="122"/>
    </row>
    <row r="75" spans="1:11" ht="15">
      <c r="A75" s="129">
        <v>17</v>
      </c>
      <c r="B75" s="130" t="s">
        <v>277</v>
      </c>
      <c r="C75" s="159">
        <v>30</v>
      </c>
      <c r="D75" s="160">
        <v>95</v>
      </c>
      <c r="E75" s="131">
        <v>35</v>
      </c>
      <c r="F75" s="161">
        <f>1.73*37*330/1000</f>
        <v>21.123300000000004</v>
      </c>
      <c r="G75" s="132">
        <f>22155/744000</f>
        <v>0.029778225806451612</v>
      </c>
      <c r="H75" s="161">
        <f t="shared" si="1"/>
        <v>21.09352177419355</v>
      </c>
      <c r="I75" s="122"/>
      <c r="J75" s="122"/>
      <c r="K75" s="122"/>
    </row>
    <row r="76" spans="1:11" ht="15">
      <c r="A76" s="134">
        <v>18</v>
      </c>
      <c r="B76" s="135" t="s">
        <v>278</v>
      </c>
      <c r="C76" s="163">
        <v>53.3</v>
      </c>
      <c r="D76" s="164">
        <v>70</v>
      </c>
      <c r="E76" s="136">
        <v>35</v>
      </c>
      <c r="F76" s="162">
        <f>1.73*37*265/1000</f>
        <v>16.96265</v>
      </c>
      <c r="G76" s="137">
        <f>920862/744000</f>
        <v>1.237717741935484</v>
      </c>
      <c r="H76" s="162">
        <f t="shared" si="1"/>
        <v>15.724932258064516</v>
      </c>
      <c r="I76" s="122"/>
      <c r="J76" s="122"/>
      <c r="K76" s="122"/>
    </row>
    <row r="77" spans="1:11" ht="15">
      <c r="A77" s="134">
        <v>19</v>
      </c>
      <c r="B77" s="135" t="s">
        <v>279</v>
      </c>
      <c r="C77" s="165">
        <v>30.9</v>
      </c>
      <c r="D77" s="164">
        <v>70</v>
      </c>
      <c r="E77" s="136">
        <v>35</v>
      </c>
      <c r="F77" s="162">
        <f>1.73*37*265/1000</f>
        <v>16.96265</v>
      </c>
      <c r="G77" s="137">
        <v>0</v>
      </c>
      <c r="H77" s="173" t="s">
        <v>197</v>
      </c>
      <c r="I77" s="122"/>
      <c r="J77" s="122"/>
      <c r="K77" s="122"/>
    </row>
    <row r="78" spans="1:11" ht="15">
      <c r="A78" s="134">
        <v>20</v>
      </c>
      <c r="B78" s="135" t="s">
        <v>280</v>
      </c>
      <c r="C78" s="163">
        <v>33.14</v>
      </c>
      <c r="D78" s="164">
        <v>70</v>
      </c>
      <c r="E78" s="136">
        <v>35</v>
      </c>
      <c r="F78" s="162">
        <f>1.73*37*265/1000</f>
        <v>16.96265</v>
      </c>
      <c r="G78" s="137">
        <v>0</v>
      </c>
      <c r="H78" s="173" t="s">
        <v>197</v>
      </c>
      <c r="I78" s="122"/>
      <c r="J78" s="122"/>
      <c r="K78" s="122"/>
    </row>
    <row r="79" spans="1:11" ht="15">
      <c r="A79" s="139">
        <v>21</v>
      </c>
      <c r="B79" s="140" t="s">
        <v>281</v>
      </c>
      <c r="C79" s="175">
        <v>44.5</v>
      </c>
      <c r="D79" s="167">
        <v>95</v>
      </c>
      <c r="E79" s="141">
        <v>35</v>
      </c>
      <c r="F79" s="168">
        <f>1.73*37*330/1000</f>
        <v>21.123300000000004</v>
      </c>
      <c r="G79" s="143">
        <f>35962/744000</f>
        <v>0.048336021505376345</v>
      </c>
      <c r="H79" s="168">
        <f t="shared" si="1"/>
        <v>21.074963978494626</v>
      </c>
      <c r="I79" s="122"/>
      <c r="J79" s="122"/>
      <c r="K79" s="122"/>
    </row>
    <row r="80" spans="1:11" ht="15">
      <c r="A80" s="148"/>
      <c r="B80" s="158" t="s">
        <v>282</v>
      </c>
      <c r="C80" s="174"/>
      <c r="D80" s="170"/>
      <c r="E80" s="158"/>
      <c r="F80" s="171"/>
      <c r="G80" s="149"/>
      <c r="H80" s="171"/>
      <c r="I80" s="122"/>
      <c r="J80" s="122"/>
      <c r="K80" s="122"/>
    </row>
    <row r="81" spans="1:11" ht="15">
      <c r="A81" s="148">
        <v>22</v>
      </c>
      <c r="B81" s="33" t="s">
        <v>283</v>
      </c>
      <c r="C81" s="169">
        <v>15.4</v>
      </c>
      <c r="D81" s="170">
        <v>95</v>
      </c>
      <c r="E81" s="34">
        <v>35</v>
      </c>
      <c r="F81" s="176">
        <f>1.73*37*330/1000</f>
        <v>21.123300000000004</v>
      </c>
      <c r="G81" s="149">
        <v>0</v>
      </c>
      <c r="H81" s="177" t="s">
        <v>197</v>
      </c>
      <c r="I81" s="122"/>
      <c r="J81" s="122"/>
      <c r="K81" s="122"/>
    </row>
    <row r="82" spans="1:11" ht="15">
      <c r="A82" s="148"/>
      <c r="B82" s="158" t="s">
        <v>284</v>
      </c>
      <c r="C82" s="174"/>
      <c r="D82" s="170"/>
      <c r="E82" s="158"/>
      <c r="F82" s="171"/>
      <c r="G82" s="149"/>
      <c r="H82" s="171"/>
      <c r="I82" s="122"/>
      <c r="J82" s="122"/>
      <c r="K82" s="122"/>
    </row>
    <row r="83" spans="1:11" ht="15">
      <c r="A83" s="148">
        <v>23</v>
      </c>
      <c r="B83" s="33" t="s">
        <v>285</v>
      </c>
      <c r="C83" s="169">
        <v>4</v>
      </c>
      <c r="D83" s="170">
        <v>95</v>
      </c>
      <c r="E83" s="34">
        <v>110</v>
      </c>
      <c r="F83" s="176">
        <f>1.73*115*330/1000</f>
        <v>65.6535</v>
      </c>
      <c r="G83" s="149">
        <v>0</v>
      </c>
      <c r="H83" s="177" t="s">
        <v>197</v>
      </c>
      <c r="I83" s="122"/>
      <c r="J83" s="122"/>
      <c r="K83" s="122"/>
    </row>
    <row r="84" spans="1:11" ht="15">
      <c r="A84" s="148"/>
      <c r="B84" s="158" t="s">
        <v>286</v>
      </c>
      <c r="C84" s="174"/>
      <c r="D84" s="170"/>
      <c r="E84" s="158"/>
      <c r="F84" s="171"/>
      <c r="G84" s="149"/>
      <c r="H84" s="171"/>
      <c r="I84" s="122"/>
      <c r="J84" s="122"/>
      <c r="K84" s="122"/>
    </row>
    <row r="85" spans="1:11" ht="15">
      <c r="A85" s="129">
        <v>24</v>
      </c>
      <c r="B85" s="130" t="s">
        <v>271</v>
      </c>
      <c r="C85" s="159">
        <v>118.61</v>
      </c>
      <c r="D85" s="160">
        <v>120</v>
      </c>
      <c r="E85" s="131">
        <v>110</v>
      </c>
      <c r="F85" s="161">
        <f>1.73*115*380/1000</f>
        <v>75.601</v>
      </c>
      <c r="G85" s="132">
        <f>17902/744000</f>
        <v>0.024061827956989246</v>
      </c>
      <c r="H85" s="161">
        <f t="shared" si="1"/>
        <v>75.57693817204301</v>
      </c>
      <c r="I85" s="122"/>
      <c r="J85" s="122"/>
      <c r="K85" s="122"/>
    </row>
    <row r="86" spans="1:11" ht="15">
      <c r="A86" s="134">
        <v>25</v>
      </c>
      <c r="B86" s="135" t="s">
        <v>287</v>
      </c>
      <c r="C86" s="163">
        <v>48.3</v>
      </c>
      <c r="D86" s="164">
        <v>185</v>
      </c>
      <c r="E86" s="136">
        <v>110</v>
      </c>
      <c r="F86" s="162">
        <f>1.73*115*510/1000</f>
        <v>101.4645</v>
      </c>
      <c r="G86" s="137">
        <f>1824240/744000</f>
        <v>2.451935483870968</v>
      </c>
      <c r="H86" s="162">
        <f t="shared" si="1"/>
        <v>99.01256451612903</v>
      </c>
      <c r="I86" s="122"/>
      <c r="J86" s="122"/>
      <c r="K86" s="122"/>
    </row>
    <row r="87" spans="1:11" ht="15">
      <c r="A87" s="139">
        <v>26</v>
      </c>
      <c r="B87" s="140" t="s">
        <v>288</v>
      </c>
      <c r="C87" s="175">
        <v>30.5</v>
      </c>
      <c r="D87" s="167">
        <v>50</v>
      </c>
      <c r="E87" s="141">
        <v>35</v>
      </c>
      <c r="F87" s="168">
        <f>1.73*37*210/1000</f>
        <v>13.4421</v>
      </c>
      <c r="G87" s="143">
        <f>1004588/744000</f>
        <v>1.350252688172043</v>
      </c>
      <c r="H87" s="168">
        <f t="shared" si="1"/>
        <v>12.091847311827957</v>
      </c>
      <c r="I87" s="122"/>
      <c r="J87" s="122"/>
      <c r="K87" s="122"/>
    </row>
    <row r="88" spans="1:11" ht="15">
      <c r="A88" s="148"/>
      <c r="B88" s="158" t="s">
        <v>289</v>
      </c>
      <c r="C88" s="169"/>
      <c r="D88" s="170"/>
      <c r="E88" s="158"/>
      <c r="F88" s="171"/>
      <c r="G88" s="149"/>
      <c r="H88" s="171"/>
      <c r="I88" s="122"/>
      <c r="J88" s="122"/>
      <c r="K88" s="122"/>
    </row>
    <row r="89" spans="1:11" ht="15">
      <c r="A89" s="129">
        <v>27</v>
      </c>
      <c r="B89" s="130" t="s">
        <v>290</v>
      </c>
      <c r="C89" s="159">
        <v>38.4</v>
      </c>
      <c r="D89" s="160">
        <v>120</v>
      </c>
      <c r="E89" s="131">
        <v>110</v>
      </c>
      <c r="F89" s="161">
        <f>1.73*115*380/1000</f>
        <v>75.601</v>
      </c>
      <c r="G89" s="151">
        <f>3528096/744000</f>
        <v>4.742064516129032</v>
      </c>
      <c r="H89" s="178">
        <f>F89-G89</f>
        <v>70.85893548387097</v>
      </c>
      <c r="I89" s="122"/>
      <c r="J89" s="122"/>
      <c r="K89" s="122"/>
    </row>
    <row r="90" spans="1:11" ht="15">
      <c r="A90" s="139">
        <v>28</v>
      </c>
      <c r="B90" s="140" t="s">
        <v>291</v>
      </c>
      <c r="C90" s="166">
        <v>1.6</v>
      </c>
      <c r="D90" s="167">
        <v>70</v>
      </c>
      <c r="E90" s="141">
        <v>35</v>
      </c>
      <c r="F90" s="168">
        <f>1.73*37*265/1000</f>
        <v>16.96265</v>
      </c>
      <c r="G90" s="143">
        <v>0</v>
      </c>
      <c r="H90" s="179" t="s">
        <v>197</v>
      </c>
      <c r="I90" s="122"/>
      <c r="J90" s="122"/>
      <c r="K90" s="122"/>
    </row>
    <row r="91" spans="1:11" ht="15">
      <c r="A91" s="148"/>
      <c r="B91" s="158" t="s">
        <v>292</v>
      </c>
      <c r="C91" s="174"/>
      <c r="D91" s="170"/>
      <c r="E91" s="158"/>
      <c r="F91" s="171"/>
      <c r="G91" s="149"/>
      <c r="H91" s="171"/>
      <c r="I91" s="122"/>
      <c r="J91" s="122"/>
      <c r="K91" s="122"/>
    </row>
    <row r="92" spans="1:11" ht="15">
      <c r="A92" s="148">
        <v>29</v>
      </c>
      <c r="B92" s="33" t="s">
        <v>293</v>
      </c>
      <c r="C92" s="169">
        <v>45.2</v>
      </c>
      <c r="D92" s="170">
        <v>70</v>
      </c>
      <c r="E92" s="34">
        <v>35</v>
      </c>
      <c r="F92" s="176">
        <f>1.73*37*265/1000</f>
        <v>16.96265</v>
      </c>
      <c r="G92" s="149">
        <f>90738/744000</f>
        <v>0.12195967741935484</v>
      </c>
      <c r="H92" s="176">
        <f t="shared" si="1"/>
        <v>16.840690322580645</v>
      </c>
      <c r="I92" s="122"/>
      <c r="J92" s="122"/>
      <c r="K92" s="122"/>
    </row>
    <row r="93" spans="1:11" ht="15">
      <c r="A93" s="148"/>
      <c r="B93" s="158" t="s">
        <v>294</v>
      </c>
      <c r="C93" s="174"/>
      <c r="D93" s="170"/>
      <c r="E93" s="158"/>
      <c r="F93" s="171"/>
      <c r="G93" s="149"/>
      <c r="H93" s="171"/>
      <c r="I93" s="122"/>
      <c r="J93" s="122"/>
      <c r="K93" s="122"/>
    </row>
    <row r="94" spans="1:11" ht="15">
      <c r="A94" s="148">
        <v>30</v>
      </c>
      <c r="B94" s="33" t="s">
        <v>295</v>
      </c>
      <c r="C94" s="169">
        <v>65</v>
      </c>
      <c r="D94" s="170" t="s">
        <v>296</v>
      </c>
      <c r="E94" s="34">
        <v>35</v>
      </c>
      <c r="F94" s="176">
        <f>1.73*37*265/1000</f>
        <v>16.96265</v>
      </c>
      <c r="G94" s="149">
        <f>272195/744000</f>
        <v>0.3658534946236559</v>
      </c>
      <c r="H94" s="176">
        <f t="shared" si="1"/>
        <v>16.596796505376343</v>
      </c>
      <c r="I94" s="122"/>
      <c r="J94" s="122"/>
      <c r="K94" s="122"/>
    </row>
    <row r="95" spans="1:11" ht="15">
      <c r="A95" s="148"/>
      <c r="B95" s="158" t="s">
        <v>297</v>
      </c>
      <c r="C95" s="169"/>
      <c r="D95" s="170"/>
      <c r="E95" s="158"/>
      <c r="F95" s="171"/>
      <c r="G95" s="149"/>
      <c r="H95" s="171"/>
      <c r="I95" s="122"/>
      <c r="J95" s="122"/>
      <c r="K95" s="122"/>
    </row>
    <row r="96" spans="1:11" ht="15">
      <c r="A96" s="129">
        <v>31</v>
      </c>
      <c r="B96" s="130" t="s">
        <v>298</v>
      </c>
      <c r="C96" s="159">
        <v>71.2</v>
      </c>
      <c r="D96" s="160">
        <v>70</v>
      </c>
      <c r="E96" s="131">
        <v>35</v>
      </c>
      <c r="F96" s="161">
        <f>1.73*37*265/1000</f>
        <v>16.96265</v>
      </c>
      <c r="G96" s="132">
        <f>3795/744000</f>
        <v>0.005100806451612904</v>
      </c>
      <c r="H96" s="161">
        <f t="shared" si="1"/>
        <v>16.957549193548388</v>
      </c>
      <c r="I96" s="122"/>
      <c r="J96" s="122"/>
      <c r="K96" s="122"/>
    </row>
    <row r="97" spans="1:11" ht="15">
      <c r="A97" s="139">
        <v>32</v>
      </c>
      <c r="B97" s="140" t="s">
        <v>299</v>
      </c>
      <c r="C97" s="180">
        <v>38.6</v>
      </c>
      <c r="D97" s="181">
        <v>95</v>
      </c>
      <c r="E97" s="141">
        <v>35</v>
      </c>
      <c r="F97" s="168">
        <f>1.73*37*330/1000</f>
        <v>21.123300000000004</v>
      </c>
      <c r="G97" s="143">
        <f>73721/744000</f>
        <v>0.09908736559139784</v>
      </c>
      <c r="H97" s="168">
        <f t="shared" si="1"/>
        <v>21.024212634408606</v>
      </c>
      <c r="I97" s="122"/>
      <c r="J97" s="122"/>
      <c r="K97" s="122"/>
    </row>
    <row r="98" spans="1:11" ht="15">
      <c r="A98" s="148"/>
      <c r="B98" s="158" t="s">
        <v>300</v>
      </c>
      <c r="C98" s="182"/>
      <c r="D98" s="183"/>
      <c r="E98" s="158"/>
      <c r="F98" s="171"/>
      <c r="G98" s="149"/>
      <c r="H98" s="171"/>
      <c r="I98" s="122"/>
      <c r="J98" s="122"/>
      <c r="K98" s="122"/>
    </row>
    <row r="99" spans="1:11" ht="15">
      <c r="A99" s="148">
        <v>33</v>
      </c>
      <c r="B99" s="33" t="s">
        <v>301</v>
      </c>
      <c r="C99" s="182">
        <v>17.7</v>
      </c>
      <c r="D99" s="183">
        <v>70</v>
      </c>
      <c r="E99" s="34">
        <v>35</v>
      </c>
      <c r="F99" s="176">
        <f>1.73*37*265/1000</f>
        <v>16.96265</v>
      </c>
      <c r="G99" s="149">
        <f>17606/744000</f>
        <v>0.023663978494623657</v>
      </c>
      <c r="H99" s="176">
        <f t="shared" si="1"/>
        <v>16.938986021505375</v>
      </c>
      <c r="I99" s="122"/>
      <c r="J99" s="122"/>
      <c r="K99" s="122"/>
    </row>
    <row r="100" spans="1:11" ht="15">
      <c r="A100" s="148"/>
      <c r="B100" s="158" t="s">
        <v>302</v>
      </c>
      <c r="C100" s="182"/>
      <c r="D100" s="183"/>
      <c r="E100" s="158"/>
      <c r="F100" s="171"/>
      <c r="G100" s="149"/>
      <c r="H100" s="171"/>
      <c r="I100" s="122"/>
      <c r="J100" s="122"/>
      <c r="K100" s="122"/>
    </row>
    <row r="101" spans="1:11" ht="15">
      <c r="A101" s="148">
        <v>34</v>
      </c>
      <c r="B101" s="33" t="s">
        <v>303</v>
      </c>
      <c r="C101" s="182">
        <v>19.5</v>
      </c>
      <c r="D101" s="183">
        <v>95</v>
      </c>
      <c r="E101" s="34">
        <v>35</v>
      </c>
      <c r="F101" s="176">
        <f>1.73*37*330/1000</f>
        <v>21.123300000000004</v>
      </c>
      <c r="G101" s="149">
        <f>498925/744000</f>
        <v>0.6705981182795699</v>
      </c>
      <c r="H101" s="176">
        <f t="shared" si="1"/>
        <v>20.452701881720433</v>
      </c>
      <c r="I101" s="122"/>
      <c r="J101" s="122"/>
      <c r="K101" s="122"/>
    </row>
    <row r="102" spans="1:11" ht="15">
      <c r="A102" s="148"/>
      <c r="B102" s="158" t="s">
        <v>304</v>
      </c>
      <c r="C102" s="182"/>
      <c r="D102" s="183"/>
      <c r="E102" s="158"/>
      <c r="F102" s="171"/>
      <c r="G102" s="149"/>
      <c r="H102" s="171"/>
      <c r="I102" s="122"/>
      <c r="J102" s="122"/>
      <c r="K102" s="122"/>
    </row>
    <row r="103" spans="1:11" ht="15">
      <c r="A103" s="129">
        <v>35</v>
      </c>
      <c r="B103" s="130" t="s">
        <v>305</v>
      </c>
      <c r="C103" s="184">
        <v>28.96</v>
      </c>
      <c r="D103" s="185">
        <v>70</v>
      </c>
      <c r="E103" s="131">
        <v>35</v>
      </c>
      <c r="F103" s="161">
        <f>1.73*37*265/1000</f>
        <v>16.96265</v>
      </c>
      <c r="G103" s="132">
        <f>49658/744000</f>
        <v>0.06674462365591398</v>
      </c>
      <c r="H103" s="161">
        <f t="shared" si="1"/>
        <v>16.895905376344086</v>
      </c>
      <c r="I103" s="122"/>
      <c r="J103" s="122"/>
      <c r="K103" s="122"/>
    </row>
    <row r="104" spans="1:11" ht="15">
      <c r="A104" s="134">
        <v>36</v>
      </c>
      <c r="B104" s="135" t="s">
        <v>306</v>
      </c>
      <c r="C104" s="186">
        <v>15</v>
      </c>
      <c r="D104" s="187">
        <v>70</v>
      </c>
      <c r="E104" s="136">
        <v>35</v>
      </c>
      <c r="F104" s="162">
        <f>1.73*37*265/1000</f>
        <v>16.96265</v>
      </c>
      <c r="G104" s="137">
        <f>72142/744000</f>
        <v>0.09696505376344086</v>
      </c>
      <c r="H104" s="162">
        <f t="shared" si="1"/>
        <v>16.86568494623656</v>
      </c>
      <c r="I104" s="122"/>
      <c r="J104" s="122"/>
      <c r="K104" s="122"/>
    </row>
    <row r="105" spans="1:11" ht="15">
      <c r="A105" s="139">
        <v>37</v>
      </c>
      <c r="B105" s="140" t="s">
        <v>307</v>
      </c>
      <c r="C105" s="180">
        <v>35.26</v>
      </c>
      <c r="D105" s="181">
        <v>70</v>
      </c>
      <c r="E105" s="141">
        <v>35</v>
      </c>
      <c r="F105" s="168">
        <f>1.73*37*265/1000</f>
        <v>16.96265</v>
      </c>
      <c r="G105" s="143">
        <f>60711/744000</f>
        <v>0.0816008064516129</v>
      </c>
      <c r="H105" s="168">
        <f t="shared" si="1"/>
        <v>16.88104919354839</v>
      </c>
      <c r="I105" s="122"/>
      <c r="J105" s="122"/>
      <c r="K105" s="122"/>
    </row>
    <row r="106" spans="1:11" ht="15">
      <c r="A106" s="148"/>
      <c r="B106" s="158" t="s">
        <v>308</v>
      </c>
      <c r="C106" s="182"/>
      <c r="D106" s="183"/>
      <c r="E106" s="158"/>
      <c r="F106" s="171"/>
      <c r="G106" s="149"/>
      <c r="H106" s="171"/>
      <c r="I106" s="122"/>
      <c r="J106" s="122"/>
      <c r="K106" s="122"/>
    </row>
    <row r="107" spans="1:11" ht="15">
      <c r="A107" s="129">
        <v>38</v>
      </c>
      <c r="B107" s="130" t="s">
        <v>309</v>
      </c>
      <c r="C107" s="184">
        <v>40.75</v>
      </c>
      <c r="D107" s="185">
        <v>70</v>
      </c>
      <c r="E107" s="131">
        <v>35</v>
      </c>
      <c r="F107" s="161">
        <f>1.73*37*265/1000</f>
        <v>16.96265</v>
      </c>
      <c r="G107" s="132">
        <f>99120/744000</f>
        <v>0.13322580645161292</v>
      </c>
      <c r="H107" s="161">
        <f t="shared" si="1"/>
        <v>16.829424193548387</v>
      </c>
      <c r="I107" s="122"/>
      <c r="J107" s="122"/>
      <c r="K107" s="122"/>
    </row>
    <row r="108" spans="1:11" ht="15">
      <c r="A108" s="139">
        <v>39</v>
      </c>
      <c r="B108" s="140" t="s">
        <v>310</v>
      </c>
      <c r="C108" s="180">
        <v>38.14</v>
      </c>
      <c r="D108" s="181">
        <v>120</v>
      </c>
      <c r="E108" s="141">
        <v>35</v>
      </c>
      <c r="F108" s="168">
        <f>1.73*37*380/1000</f>
        <v>24.323800000000002</v>
      </c>
      <c r="G108" s="143">
        <f>78589/744000</f>
        <v>0.10563037634408602</v>
      </c>
      <c r="H108" s="168">
        <f t="shared" si="1"/>
        <v>24.218169623655918</v>
      </c>
      <c r="I108" s="122"/>
      <c r="J108" s="122"/>
      <c r="K108" s="122"/>
    </row>
    <row r="109" spans="1:11" ht="15">
      <c r="A109" s="123"/>
      <c r="B109" s="122"/>
      <c r="C109" s="122"/>
      <c r="D109" s="122"/>
      <c r="E109" s="123"/>
      <c r="F109" s="122"/>
      <c r="I109" s="122"/>
      <c r="J109" s="122"/>
      <c r="K109" s="122"/>
    </row>
    <row r="110" spans="1:11" ht="15">
      <c r="A110" s="123"/>
      <c r="B110" s="122"/>
      <c r="C110" s="122"/>
      <c r="D110" s="122"/>
      <c r="E110" s="123"/>
      <c r="F110" s="122"/>
      <c r="I110" s="122"/>
      <c r="J110" s="122"/>
      <c r="K110" s="122"/>
    </row>
    <row r="111" spans="1:11" ht="15">
      <c r="A111" s="123"/>
      <c r="B111" s="122"/>
      <c r="C111" s="122"/>
      <c r="D111" s="122"/>
      <c r="E111" s="123"/>
      <c r="F111" s="122"/>
      <c r="I111" s="122"/>
      <c r="J111" s="122"/>
      <c r="K111" s="122"/>
    </row>
    <row r="112" spans="1:11" ht="15">
      <c r="A112" s="123"/>
      <c r="B112" s="122"/>
      <c r="C112" s="122"/>
      <c r="D112" s="122"/>
      <c r="E112" s="123"/>
      <c r="F112" s="122"/>
      <c r="I112" s="122"/>
      <c r="J112" s="122"/>
      <c r="K112" s="122"/>
    </row>
    <row r="113" spans="1:11" ht="15">
      <c r="A113" s="123"/>
      <c r="B113" s="122"/>
      <c r="C113" s="122"/>
      <c r="D113" s="122"/>
      <c r="E113" s="123"/>
      <c r="F113" s="122"/>
      <c r="I113" s="122"/>
      <c r="J113" s="122"/>
      <c r="K113" s="122"/>
    </row>
    <row r="114" spans="1:11" ht="15">
      <c r="A114" s="123"/>
      <c r="B114" s="122"/>
      <c r="C114" s="122"/>
      <c r="D114" s="122"/>
      <c r="E114" s="123"/>
      <c r="F114" s="122"/>
      <c r="I114" s="122"/>
      <c r="J114" s="122"/>
      <c r="K114" s="122"/>
    </row>
    <row r="115" spans="1:11" ht="15">
      <c r="A115" s="123"/>
      <c r="B115" s="122"/>
      <c r="C115" s="122"/>
      <c r="D115" s="122"/>
      <c r="E115" s="123"/>
      <c r="F115" s="122"/>
      <c r="I115" s="122"/>
      <c r="J115" s="122"/>
      <c r="K115" s="122"/>
    </row>
    <row r="116" spans="1:11" ht="15">
      <c r="A116" s="123"/>
      <c r="B116" s="122"/>
      <c r="C116" s="122"/>
      <c r="D116" s="122"/>
      <c r="E116" s="123"/>
      <c r="F116" s="122"/>
      <c r="I116" s="122"/>
      <c r="J116" s="122"/>
      <c r="K116" s="122"/>
    </row>
    <row r="117" spans="1:11" ht="15">
      <c r="A117" s="123"/>
      <c r="B117" s="122"/>
      <c r="C117" s="122"/>
      <c r="D117" s="122"/>
      <c r="E117" s="123"/>
      <c r="F117" s="122"/>
      <c r="I117" s="122"/>
      <c r="J117" s="122"/>
      <c r="K117" s="122"/>
    </row>
    <row r="118" spans="1:11" ht="15">
      <c r="A118" s="123"/>
      <c r="B118" s="122"/>
      <c r="C118" s="122"/>
      <c r="D118" s="122"/>
      <c r="E118" s="123"/>
      <c r="F118" s="122"/>
      <c r="I118" s="122"/>
      <c r="J118" s="122"/>
      <c r="K118" s="122"/>
    </row>
    <row r="119" spans="1:11" ht="15">
      <c r="A119" s="123"/>
      <c r="B119" s="122"/>
      <c r="C119" s="122"/>
      <c r="D119" s="122"/>
      <c r="E119" s="123"/>
      <c r="F119" s="122"/>
      <c r="I119" s="122"/>
      <c r="J119" s="122"/>
      <c r="K119" s="122"/>
    </row>
    <row r="120" spans="1:11" ht="15">
      <c r="A120" s="123"/>
      <c r="B120" s="122"/>
      <c r="C120" s="122"/>
      <c r="D120" s="122"/>
      <c r="E120" s="123"/>
      <c r="F120" s="122"/>
      <c r="I120" s="122"/>
      <c r="J120" s="122"/>
      <c r="K120" s="122"/>
    </row>
    <row r="121" spans="1:11" ht="15">
      <c r="A121" s="123"/>
      <c r="B121" s="122"/>
      <c r="C121" s="122"/>
      <c r="D121" s="122"/>
      <c r="E121" s="123"/>
      <c r="F121" s="122"/>
      <c r="I121" s="122"/>
      <c r="J121" s="122"/>
      <c r="K121" s="122"/>
    </row>
    <row r="122" spans="1:11" ht="15">
      <c r="A122" s="123"/>
      <c r="B122" s="122"/>
      <c r="C122" s="122"/>
      <c r="D122" s="122"/>
      <c r="E122" s="123"/>
      <c r="F122" s="122"/>
      <c r="I122" s="122"/>
      <c r="J122" s="122"/>
      <c r="K122" s="122"/>
    </row>
    <row r="123" spans="1:11" ht="15">
      <c r="A123" s="123"/>
      <c r="B123" s="122"/>
      <c r="C123" s="122"/>
      <c r="D123" s="122"/>
      <c r="E123" s="123"/>
      <c r="F123" s="122"/>
      <c r="I123" s="122"/>
      <c r="J123" s="122"/>
      <c r="K123" s="122"/>
    </row>
    <row r="124" spans="1:11" ht="15">
      <c r="A124" s="123"/>
      <c r="B124" s="122"/>
      <c r="C124" s="122"/>
      <c r="D124" s="122"/>
      <c r="E124" s="123"/>
      <c r="F124" s="122"/>
      <c r="I124" s="122"/>
      <c r="J124" s="122"/>
      <c r="K124" s="122"/>
    </row>
    <row r="125" spans="1:11" ht="15">
      <c r="A125" s="123"/>
      <c r="B125" s="122"/>
      <c r="C125" s="122"/>
      <c r="D125" s="122"/>
      <c r="E125" s="123"/>
      <c r="F125" s="122"/>
      <c r="I125" s="122"/>
      <c r="J125" s="122"/>
      <c r="K125" s="122"/>
    </row>
    <row r="126" spans="1:11" ht="15">
      <c r="A126" s="123"/>
      <c r="B126" s="122"/>
      <c r="C126" s="122"/>
      <c r="D126" s="122"/>
      <c r="E126" s="123"/>
      <c r="F126" s="122"/>
      <c r="I126" s="122"/>
      <c r="J126" s="122"/>
      <c r="K126" s="122"/>
    </row>
    <row r="127" spans="1:11" ht="15">
      <c r="A127" s="123"/>
      <c r="B127" s="122"/>
      <c r="C127" s="122"/>
      <c r="D127" s="122"/>
      <c r="E127" s="123"/>
      <c r="F127" s="122"/>
      <c r="I127" s="122"/>
      <c r="J127" s="122"/>
      <c r="K127" s="122"/>
    </row>
    <row r="128" spans="1:11" ht="15">
      <c r="A128" s="123"/>
      <c r="B128" s="122"/>
      <c r="C128" s="122"/>
      <c r="D128" s="122"/>
      <c r="E128" s="123"/>
      <c r="F128" s="122"/>
      <c r="I128" s="122"/>
      <c r="J128" s="122"/>
      <c r="K128" s="122"/>
    </row>
    <row r="129" spans="1:11" ht="15">
      <c r="A129" s="123"/>
      <c r="B129" s="122"/>
      <c r="C129" s="122"/>
      <c r="D129" s="122"/>
      <c r="E129" s="123"/>
      <c r="F129" s="122"/>
      <c r="I129" s="122"/>
      <c r="J129" s="122"/>
      <c r="K129" s="122"/>
    </row>
    <row r="130" spans="1:11" ht="15">
      <c r="A130" s="123"/>
      <c r="B130" s="122"/>
      <c r="C130" s="122"/>
      <c r="D130" s="122"/>
      <c r="E130" s="123"/>
      <c r="F130" s="122"/>
      <c r="I130" s="122"/>
      <c r="J130" s="122"/>
      <c r="K130" s="122"/>
    </row>
    <row r="131" spans="1:11" ht="15">
      <c r="A131" s="123"/>
      <c r="B131" s="122"/>
      <c r="C131" s="122"/>
      <c r="D131" s="122"/>
      <c r="E131" s="123"/>
      <c r="F131" s="122"/>
      <c r="I131" s="122"/>
      <c r="J131" s="122"/>
      <c r="K131" s="122"/>
    </row>
    <row r="132" spans="1:11" ht="15">
      <c r="A132" s="123"/>
      <c r="B132" s="122"/>
      <c r="C132" s="122"/>
      <c r="D132" s="122"/>
      <c r="E132" s="123"/>
      <c r="F132" s="122"/>
      <c r="I132" s="122"/>
      <c r="J132" s="122"/>
      <c r="K132" s="122"/>
    </row>
    <row r="133" spans="1:11" ht="15">
      <c r="A133" s="123"/>
      <c r="B133" s="122"/>
      <c r="C133" s="122"/>
      <c r="D133" s="122"/>
      <c r="E133" s="123"/>
      <c r="F133" s="122"/>
      <c r="I133" s="122"/>
      <c r="J133" s="122"/>
      <c r="K133" s="122"/>
    </row>
    <row r="134" spans="1:11" ht="15">
      <c r="A134" s="123"/>
      <c r="B134" s="122"/>
      <c r="C134" s="122"/>
      <c r="D134" s="122"/>
      <c r="E134" s="123"/>
      <c r="F134" s="122"/>
      <c r="I134" s="122"/>
      <c r="J134" s="122"/>
      <c r="K134" s="122"/>
    </row>
    <row r="135" spans="1:11" ht="15">
      <c r="A135" s="123"/>
      <c r="B135" s="122"/>
      <c r="C135" s="122"/>
      <c r="D135" s="122"/>
      <c r="E135" s="123"/>
      <c r="F135" s="122"/>
      <c r="I135" s="122"/>
      <c r="J135" s="122"/>
      <c r="K135" s="122"/>
    </row>
    <row r="136" spans="1:11" ht="15">
      <c r="A136" s="123"/>
      <c r="B136" s="122"/>
      <c r="C136" s="122"/>
      <c r="D136" s="122"/>
      <c r="E136" s="123"/>
      <c r="F136" s="122"/>
      <c r="I136" s="122"/>
      <c r="J136" s="122"/>
      <c r="K136" s="122"/>
    </row>
    <row r="137" spans="1:11" ht="15">
      <c r="A137" s="123"/>
      <c r="B137" s="122"/>
      <c r="C137" s="122"/>
      <c r="D137" s="122"/>
      <c r="E137" s="123"/>
      <c r="F137" s="122"/>
      <c r="I137" s="122"/>
      <c r="J137" s="122"/>
      <c r="K137" s="122"/>
    </row>
    <row r="138" spans="1:11" ht="15">
      <c r="A138" s="123"/>
      <c r="B138" s="122"/>
      <c r="C138" s="122"/>
      <c r="D138" s="122"/>
      <c r="E138" s="123"/>
      <c r="F138" s="122"/>
      <c r="I138" s="122"/>
      <c r="J138" s="122"/>
      <c r="K138" s="122"/>
    </row>
    <row r="139" spans="1:11" ht="15">
      <c r="A139" s="123"/>
      <c r="B139" s="122"/>
      <c r="C139" s="122"/>
      <c r="D139" s="122"/>
      <c r="E139" s="123"/>
      <c r="F139" s="122"/>
      <c r="I139" s="122"/>
      <c r="J139" s="122"/>
      <c r="K139" s="122"/>
    </row>
    <row r="140" spans="1:11" ht="15">
      <c r="A140" s="123"/>
      <c r="B140" s="122"/>
      <c r="C140" s="122"/>
      <c r="D140" s="122"/>
      <c r="E140" s="123"/>
      <c r="F140" s="122"/>
      <c r="I140" s="122"/>
      <c r="J140" s="122"/>
      <c r="K140" s="122"/>
    </row>
    <row r="141" spans="1:11" ht="15">
      <c r="A141" s="123"/>
      <c r="B141" s="122"/>
      <c r="C141" s="122"/>
      <c r="D141" s="122"/>
      <c r="E141" s="123"/>
      <c r="F141" s="122"/>
      <c r="I141" s="122"/>
      <c r="J141" s="122"/>
      <c r="K141" s="122"/>
    </row>
    <row r="142" spans="1:11" ht="15">
      <c r="A142" s="123"/>
      <c r="B142" s="122"/>
      <c r="C142" s="122"/>
      <c r="D142" s="122"/>
      <c r="E142" s="123"/>
      <c r="F142" s="122"/>
      <c r="I142" s="122"/>
      <c r="J142" s="122"/>
      <c r="K142" s="122"/>
    </row>
    <row r="143" spans="1:11" ht="15">
      <c r="A143" s="123"/>
      <c r="B143" s="122"/>
      <c r="C143" s="122"/>
      <c r="D143" s="122"/>
      <c r="E143" s="123"/>
      <c r="F143" s="122"/>
      <c r="I143" s="122"/>
      <c r="J143" s="122"/>
      <c r="K143" s="122"/>
    </row>
    <row r="144" spans="1:11" ht="15">
      <c r="A144" s="123"/>
      <c r="B144" s="122"/>
      <c r="C144" s="122"/>
      <c r="D144" s="122"/>
      <c r="E144" s="123"/>
      <c r="F144" s="122"/>
      <c r="I144" s="122"/>
      <c r="J144" s="122"/>
      <c r="K144" s="122"/>
    </row>
    <row r="145" spans="1:11" ht="15">
      <c r="A145" s="123"/>
      <c r="B145" s="122"/>
      <c r="C145" s="122"/>
      <c r="D145" s="122"/>
      <c r="E145" s="123"/>
      <c r="F145" s="122"/>
      <c r="I145" s="122"/>
      <c r="J145" s="122"/>
      <c r="K145" s="122"/>
    </row>
    <row r="146" spans="1:11" ht="15">
      <c r="A146" s="123"/>
      <c r="B146" s="122"/>
      <c r="C146" s="122"/>
      <c r="D146" s="122"/>
      <c r="E146" s="123"/>
      <c r="F146" s="122"/>
      <c r="I146" s="122"/>
      <c r="J146" s="122"/>
      <c r="K146" s="122"/>
    </row>
    <row r="147" spans="1:11" ht="15">
      <c r="A147" s="123"/>
      <c r="B147" s="122"/>
      <c r="C147" s="122"/>
      <c r="D147" s="122"/>
      <c r="E147" s="123"/>
      <c r="F147" s="122"/>
      <c r="I147" s="122"/>
      <c r="J147" s="122"/>
      <c r="K147" s="122"/>
    </row>
    <row r="148" spans="1:11" ht="15">
      <c r="A148" s="123"/>
      <c r="B148" s="122"/>
      <c r="C148" s="122"/>
      <c r="D148" s="122"/>
      <c r="E148" s="123"/>
      <c r="F148" s="122"/>
      <c r="I148" s="122"/>
      <c r="J148" s="122"/>
      <c r="K148" s="122"/>
    </row>
    <row r="149" spans="1:11" ht="15">
      <c r="A149" s="123"/>
      <c r="B149" s="122"/>
      <c r="C149" s="122"/>
      <c r="D149" s="122"/>
      <c r="E149" s="123"/>
      <c r="F149" s="122"/>
      <c r="I149" s="122"/>
      <c r="J149" s="122"/>
      <c r="K149" s="122"/>
    </row>
    <row r="150" spans="1:11" ht="15">
      <c r="A150" s="123"/>
      <c r="B150" s="122"/>
      <c r="C150" s="122"/>
      <c r="D150" s="122"/>
      <c r="E150" s="123"/>
      <c r="F150" s="122"/>
      <c r="I150" s="122"/>
      <c r="J150" s="122"/>
      <c r="K150" s="122"/>
    </row>
    <row r="151" spans="1:11" ht="15">
      <c r="A151" s="123"/>
      <c r="B151" s="122"/>
      <c r="C151" s="122"/>
      <c r="D151" s="122"/>
      <c r="E151" s="123"/>
      <c r="F151" s="122"/>
      <c r="I151" s="122"/>
      <c r="J151" s="122"/>
      <c r="K151" s="122"/>
    </row>
    <row r="152" spans="1:11" ht="15">
      <c r="A152" s="123"/>
      <c r="B152" s="122"/>
      <c r="C152" s="122"/>
      <c r="D152" s="122"/>
      <c r="E152" s="123"/>
      <c r="F152" s="122"/>
      <c r="I152" s="122"/>
      <c r="J152" s="122"/>
      <c r="K152" s="122"/>
    </row>
    <row r="153" spans="1:11" ht="15">
      <c r="A153" s="123"/>
      <c r="B153" s="122"/>
      <c r="C153" s="122"/>
      <c r="D153" s="122"/>
      <c r="E153" s="123"/>
      <c r="F153" s="122"/>
      <c r="I153" s="122"/>
      <c r="J153" s="122"/>
      <c r="K153" s="122"/>
    </row>
    <row r="154" spans="1:11" ht="15">
      <c r="A154" s="123"/>
      <c r="B154" s="122"/>
      <c r="C154" s="122"/>
      <c r="D154" s="122"/>
      <c r="E154" s="123"/>
      <c r="F154" s="122"/>
      <c r="I154" s="122"/>
      <c r="J154" s="122"/>
      <c r="K154" s="122"/>
    </row>
    <row r="155" spans="1:11" ht="15">
      <c r="A155" s="123"/>
      <c r="B155" s="122"/>
      <c r="C155" s="122"/>
      <c r="D155" s="122"/>
      <c r="E155" s="123"/>
      <c r="F155" s="122"/>
      <c r="I155" s="122"/>
      <c r="J155" s="122"/>
      <c r="K155" s="122"/>
    </row>
    <row r="156" spans="1:11" ht="15">
      <c r="A156" s="123"/>
      <c r="B156" s="122"/>
      <c r="C156" s="122"/>
      <c r="D156" s="122"/>
      <c r="E156" s="123"/>
      <c r="F156" s="122"/>
      <c r="I156" s="122"/>
      <c r="J156" s="122"/>
      <c r="K156" s="122"/>
    </row>
    <row r="157" spans="1:11" ht="15">
      <c r="A157" s="123"/>
      <c r="B157" s="122"/>
      <c r="C157" s="122"/>
      <c r="D157" s="122"/>
      <c r="E157" s="123"/>
      <c r="F157" s="122"/>
      <c r="I157" s="122"/>
      <c r="J157" s="122"/>
      <c r="K157" s="122"/>
    </row>
    <row r="158" spans="1:11" ht="15">
      <c r="A158" s="123"/>
      <c r="B158" s="122"/>
      <c r="C158" s="122"/>
      <c r="D158" s="122"/>
      <c r="E158" s="123"/>
      <c r="F158" s="122"/>
      <c r="I158" s="122"/>
      <c r="J158" s="122"/>
      <c r="K158" s="122"/>
    </row>
    <row r="159" spans="1:11" ht="15">
      <c r="A159" s="123"/>
      <c r="B159" s="122"/>
      <c r="C159" s="122"/>
      <c r="D159" s="122"/>
      <c r="E159" s="123"/>
      <c r="F159" s="122"/>
      <c r="I159" s="122"/>
      <c r="J159" s="122"/>
      <c r="K159" s="122"/>
    </row>
    <row r="160" spans="1:11" ht="15">
      <c r="A160" s="123"/>
      <c r="B160" s="122"/>
      <c r="C160" s="122"/>
      <c r="D160" s="122"/>
      <c r="E160" s="123"/>
      <c r="F160" s="122"/>
      <c r="I160" s="122"/>
      <c r="J160" s="122"/>
      <c r="K160" s="122"/>
    </row>
    <row r="161" spans="1:11" ht="15">
      <c r="A161" s="123"/>
      <c r="B161" s="122"/>
      <c r="C161" s="122"/>
      <c r="D161" s="122"/>
      <c r="E161" s="123"/>
      <c r="F161" s="122"/>
      <c r="I161" s="122"/>
      <c r="J161" s="122"/>
      <c r="K161" s="122"/>
    </row>
    <row r="162" spans="1:11" ht="15">
      <c r="A162" s="123"/>
      <c r="B162" s="122"/>
      <c r="C162" s="122"/>
      <c r="D162" s="122"/>
      <c r="E162" s="123"/>
      <c r="F162" s="122"/>
      <c r="I162" s="122"/>
      <c r="J162" s="122"/>
      <c r="K162" s="122"/>
    </row>
    <row r="163" spans="1:11" ht="15">
      <c r="A163" s="123"/>
      <c r="B163" s="122"/>
      <c r="C163" s="122"/>
      <c r="D163" s="122"/>
      <c r="E163" s="123"/>
      <c r="F163" s="122"/>
      <c r="I163" s="122"/>
      <c r="J163" s="122"/>
      <c r="K163" s="122"/>
    </row>
    <row r="164" spans="1:11" ht="15">
      <c r="A164" s="123"/>
      <c r="B164" s="122"/>
      <c r="C164" s="122"/>
      <c r="D164" s="122"/>
      <c r="E164" s="123"/>
      <c r="F164" s="122"/>
      <c r="I164" s="122"/>
      <c r="J164" s="122"/>
      <c r="K164" s="122"/>
    </row>
    <row r="165" spans="1:11" ht="15">
      <c r="A165" s="123"/>
      <c r="B165" s="122"/>
      <c r="C165" s="122"/>
      <c r="D165" s="122"/>
      <c r="E165" s="123"/>
      <c r="F165" s="122"/>
      <c r="I165" s="122"/>
      <c r="J165" s="122"/>
      <c r="K165" s="122"/>
    </row>
    <row r="166" spans="1:11" ht="15">
      <c r="A166" s="123"/>
      <c r="B166" s="122"/>
      <c r="C166" s="122"/>
      <c r="D166" s="122"/>
      <c r="E166" s="123"/>
      <c r="F166" s="122"/>
      <c r="I166" s="122"/>
      <c r="J166" s="122"/>
      <c r="K166" s="122"/>
    </row>
    <row r="167" spans="1:11" ht="15">
      <c r="A167" s="123"/>
      <c r="B167" s="122"/>
      <c r="C167" s="122"/>
      <c r="D167" s="122"/>
      <c r="E167" s="123"/>
      <c r="F167" s="122"/>
      <c r="I167" s="122"/>
      <c r="J167" s="122"/>
      <c r="K167" s="122"/>
    </row>
    <row r="168" spans="1:11" ht="15">
      <c r="A168" s="123"/>
      <c r="B168" s="122"/>
      <c r="C168" s="122"/>
      <c r="D168" s="122"/>
      <c r="E168" s="123"/>
      <c r="F168" s="122"/>
      <c r="I168" s="122"/>
      <c r="J168" s="122"/>
      <c r="K168" s="122"/>
    </row>
    <row r="169" spans="1:11" ht="15">
      <c r="A169" s="123"/>
      <c r="B169" s="122"/>
      <c r="C169" s="122"/>
      <c r="D169" s="122"/>
      <c r="E169" s="123"/>
      <c r="F169" s="122"/>
      <c r="I169" s="122"/>
      <c r="J169" s="122"/>
      <c r="K169" s="122"/>
    </row>
    <row r="170" spans="1:11" ht="15">
      <c r="A170" s="123"/>
      <c r="B170" s="122"/>
      <c r="C170" s="122"/>
      <c r="D170" s="122"/>
      <c r="E170" s="123"/>
      <c r="F170" s="122"/>
      <c r="I170" s="122"/>
      <c r="J170" s="122"/>
      <c r="K170" s="122"/>
    </row>
    <row r="171" spans="1:11" ht="15">
      <c r="A171" s="123"/>
      <c r="B171" s="122"/>
      <c r="C171" s="122"/>
      <c r="D171" s="122"/>
      <c r="E171" s="123"/>
      <c r="F171" s="122"/>
      <c r="I171" s="122"/>
      <c r="J171" s="122"/>
      <c r="K171" s="122"/>
    </row>
    <row r="172" spans="1:11" ht="15">
      <c r="A172" s="123"/>
      <c r="B172" s="122"/>
      <c r="C172" s="122"/>
      <c r="D172" s="122"/>
      <c r="E172" s="123"/>
      <c r="F172" s="122"/>
      <c r="I172" s="122"/>
      <c r="J172" s="122"/>
      <c r="K172" s="122"/>
    </row>
    <row r="173" spans="1:11" ht="15">
      <c r="A173" s="123"/>
      <c r="B173" s="122"/>
      <c r="C173" s="122"/>
      <c r="D173" s="122"/>
      <c r="E173" s="123"/>
      <c r="F173" s="122"/>
      <c r="I173" s="122"/>
      <c r="J173" s="122"/>
      <c r="K173" s="122"/>
    </row>
    <row r="174" spans="1:11" ht="15">
      <c r="A174" s="123"/>
      <c r="B174" s="122"/>
      <c r="C174" s="122"/>
      <c r="D174" s="122"/>
      <c r="E174" s="123"/>
      <c r="F174" s="122"/>
      <c r="I174" s="122"/>
      <c r="J174" s="122"/>
      <c r="K174" s="122"/>
    </row>
    <row r="175" spans="1:11" ht="15">
      <c r="A175" s="123"/>
      <c r="B175" s="122"/>
      <c r="C175" s="122"/>
      <c r="D175" s="122"/>
      <c r="E175" s="123"/>
      <c r="F175" s="122"/>
      <c r="I175" s="122"/>
      <c r="J175" s="122"/>
      <c r="K175" s="122"/>
    </row>
    <row r="176" spans="1:11" ht="15">
      <c r="A176" s="123"/>
      <c r="B176" s="122"/>
      <c r="C176" s="122"/>
      <c r="D176" s="122"/>
      <c r="E176" s="123"/>
      <c r="F176" s="122"/>
      <c r="I176" s="122"/>
      <c r="J176" s="122"/>
      <c r="K176" s="122"/>
    </row>
    <row r="177" spans="1:11" ht="15">
      <c r="A177" s="123"/>
      <c r="B177" s="122"/>
      <c r="C177" s="122"/>
      <c r="D177" s="122"/>
      <c r="E177" s="123"/>
      <c r="F177" s="122"/>
      <c r="I177" s="122"/>
      <c r="J177" s="122"/>
      <c r="K177" s="122"/>
    </row>
    <row r="178" spans="1:11" ht="15">
      <c r="A178" s="123"/>
      <c r="B178" s="122"/>
      <c r="C178" s="122"/>
      <c r="D178" s="122"/>
      <c r="E178" s="123"/>
      <c r="F178" s="122"/>
      <c r="I178" s="122"/>
      <c r="J178" s="122"/>
      <c r="K178" s="122"/>
    </row>
    <row r="179" spans="1:11" ht="15">
      <c r="A179" s="123"/>
      <c r="B179" s="122"/>
      <c r="C179" s="122"/>
      <c r="D179" s="122"/>
      <c r="E179" s="123"/>
      <c r="F179" s="122"/>
      <c r="I179" s="122"/>
      <c r="J179" s="122"/>
      <c r="K179" s="122"/>
    </row>
    <row r="180" spans="1:11" ht="15">
      <c r="A180" s="123"/>
      <c r="B180" s="122"/>
      <c r="C180" s="122"/>
      <c r="D180" s="122"/>
      <c r="E180" s="123"/>
      <c r="F180" s="122"/>
      <c r="I180" s="122"/>
      <c r="J180" s="122"/>
      <c r="K180" s="122"/>
    </row>
    <row r="181" spans="1:11" ht="15">
      <c r="A181" s="123"/>
      <c r="B181" s="122"/>
      <c r="C181" s="122"/>
      <c r="D181" s="122"/>
      <c r="E181" s="123"/>
      <c r="F181" s="122"/>
      <c r="I181" s="122"/>
      <c r="J181" s="122"/>
      <c r="K181" s="122"/>
    </row>
    <row r="182" spans="1:11" ht="15">
      <c r="A182" s="123"/>
      <c r="B182" s="122"/>
      <c r="C182" s="122"/>
      <c r="D182" s="122"/>
      <c r="E182" s="123"/>
      <c r="F182" s="122"/>
      <c r="I182" s="122"/>
      <c r="J182" s="122"/>
      <c r="K182" s="122"/>
    </row>
    <row r="183" spans="1:11" ht="15">
      <c r="A183" s="123"/>
      <c r="B183" s="122"/>
      <c r="C183" s="122"/>
      <c r="D183" s="122"/>
      <c r="E183" s="123"/>
      <c r="F183" s="122"/>
      <c r="I183" s="122"/>
      <c r="J183" s="122"/>
      <c r="K183" s="122"/>
    </row>
    <row r="184" spans="1:11" ht="15">
      <c r="A184" s="123"/>
      <c r="B184" s="122"/>
      <c r="C184" s="122"/>
      <c r="D184" s="122"/>
      <c r="E184" s="123"/>
      <c r="F184" s="122"/>
      <c r="I184" s="122"/>
      <c r="J184" s="122"/>
      <c r="K184" s="122"/>
    </row>
    <row r="185" spans="1:11" ht="15">
      <c r="A185" s="123"/>
      <c r="B185" s="122"/>
      <c r="C185" s="122"/>
      <c r="D185" s="122"/>
      <c r="E185" s="123"/>
      <c r="F185" s="122"/>
      <c r="I185" s="122"/>
      <c r="J185" s="122"/>
      <c r="K185" s="122"/>
    </row>
    <row r="186" spans="1:11" ht="15">
      <c r="A186" s="123"/>
      <c r="B186" s="122"/>
      <c r="C186" s="122"/>
      <c r="D186" s="122"/>
      <c r="E186" s="123"/>
      <c r="F186" s="122"/>
      <c r="I186" s="122"/>
      <c r="J186" s="122"/>
      <c r="K186" s="122"/>
    </row>
    <row r="187" spans="1:11" ht="15">
      <c r="A187" s="123"/>
      <c r="B187" s="122"/>
      <c r="C187" s="122"/>
      <c r="D187" s="122"/>
      <c r="E187" s="123"/>
      <c r="F187" s="122"/>
      <c r="I187" s="122"/>
      <c r="J187" s="122"/>
      <c r="K187" s="122"/>
    </row>
    <row r="188" spans="1:11" ht="15">
      <c r="A188" s="123"/>
      <c r="B188" s="122"/>
      <c r="C188" s="122"/>
      <c r="D188" s="122"/>
      <c r="E188" s="123"/>
      <c r="F188" s="122"/>
      <c r="I188" s="122"/>
      <c r="J188" s="122"/>
      <c r="K188" s="122"/>
    </row>
    <row r="189" spans="1:11" ht="15">
      <c r="A189" s="123"/>
      <c r="B189" s="122"/>
      <c r="C189" s="122"/>
      <c r="D189" s="122"/>
      <c r="E189" s="123"/>
      <c r="F189" s="122"/>
      <c r="I189" s="122"/>
      <c r="J189" s="122"/>
      <c r="K189" s="122"/>
    </row>
    <row r="190" spans="1:11" ht="15">
      <c r="A190" s="123"/>
      <c r="B190" s="122"/>
      <c r="C190" s="122"/>
      <c r="D190" s="122"/>
      <c r="E190" s="123"/>
      <c r="F190" s="122"/>
      <c r="I190" s="122"/>
      <c r="J190" s="122"/>
      <c r="K190" s="122"/>
    </row>
    <row r="191" spans="1:11" ht="15">
      <c r="A191" s="123"/>
      <c r="B191" s="122"/>
      <c r="C191" s="122"/>
      <c r="D191" s="122"/>
      <c r="E191" s="123"/>
      <c r="F191" s="122"/>
      <c r="I191" s="122"/>
      <c r="J191" s="122"/>
      <c r="K191" s="122"/>
    </row>
    <row r="192" spans="1:11" ht="15">
      <c r="A192" s="123"/>
      <c r="B192" s="122"/>
      <c r="C192" s="122"/>
      <c r="D192" s="122"/>
      <c r="E192" s="123"/>
      <c r="F192" s="122"/>
      <c r="I192" s="122"/>
      <c r="J192" s="122"/>
      <c r="K192" s="122"/>
    </row>
    <row r="193" spans="1:11" ht="15">
      <c r="A193" s="123"/>
      <c r="B193" s="122"/>
      <c r="C193" s="122"/>
      <c r="D193" s="122"/>
      <c r="E193" s="123"/>
      <c r="F193" s="122"/>
      <c r="I193" s="122"/>
      <c r="J193" s="122"/>
      <c r="K193" s="122"/>
    </row>
    <row r="194" spans="1:11" ht="15">
      <c r="A194" s="123"/>
      <c r="B194" s="122"/>
      <c r="C194" s="122"/>
      <c r="D194" s="122"/>
      <c r="E194" s="123"/>
      <c r="F194" s="122"/>
      <c r="I194" s="122"/>
      <c r="J194" s="122"/>
      <c r="K194" s="122"/>
    </row>
    <row r="195" spans="1:11" ht="15">
      <c r="A195" s="123"/>
      <c r="B195" s="122"/>
      <c r="C195" s="122"/>
      <c r="D195" s="122"/>
      <c r="E195" s="123"/>
      <c r="F195" s="122"/>
      <c r="I195" s="122"/>
      <c r="J195" s="122"/>
      <c r="K195" s="122"/>
    </row>
    <row r="196" spans="1:11" ht="15">
      <c r="A196" s="123"/>
      <c r="B196" s="122"/>
      <c r="C196" s="122"/>
      <c r="D196" s="122"/>
      <c r="E196" s="123"/>
      <c r="F196" s="122"/>
      <c r="I196" s="122"/>
      <c r="J196" s="122"/>
      <c r="K196" s="122"/>
    </row>
    <row r="197" spans="1:11" ht="15">
      <c r="A197" s="123"/>
      <c r="B197" s="122"/>
      <c r="C197" s="122"/>
      <c r="D197" s="122"/>
      <c r="E197" s="123"/>
      <c r="F197" s="122"/>
      <c r="I197" s="122"/>
      <c r="J197" s="122"/>
      <c r="K197" s="122"/>
    </row>
    <row r="198" spans="1:11" ht="15">
      <c r="A198" s="123"/>
      <c r="B198" s="122"/>
      <c r="C198" s="122"/>
      <c r="D198" s="122"/>
      <c r="E198" s="123"/>
      <c r="F198" s="122"/>
      <c r="I198" s="122"/>
      <c r="J198" s="122"/>
      <c r="K198" s="122"/>
    </row>
    <row r="199" spans="1:11" ht="15">
      <c r="A199" s="123"/>
      <c r="B199" s="122"/>
      <c r="C199" s="122"/>
      <c r="D199" s="122"/>
      <c r="E199" s="123"/>
      <c r="F199" s="122"/>
      <c r="I199" s="122"/>
      <c r="J199" s="122"/>
      <c r="K199" s="122"/>
    </row>
    <row r="200" spans="1:11" ht="15">
      <c r="A200" s="123"/>
      <c r="B200" s="122"/>
      <c r="C200" s="122"/>
      <c r="D200" s="122"/>
      <c r="E200" s="123"/>
      <c r="F200" s="122"/>
      <c r="I200" s="122"/>
      <c r="J200" s="122"/>
      <c r="K200" s="122"/>
    </row>
    <row r="201" spans="1:11" ht="15">
      <c r="A201" s="123"/>
      <c r="B201" s="122"/>
      <c r="C201" s="122"/>
      <c r="D201" s="122"/>
      <c r="E201" s="123"/>
      <c r="F201" s="122"/>
      <c r="I201" s="122"/>
      <c r="J201" s="122"/>
      <c r="K201" s="122"/>
    </row>
    <row r="202" spans="1:11" ht="15">
      <c r="A202" s="123"/>
      <c r="B202" s="122"/>
      <c r="C202" s="122"/>
      <c r="D202" s="122"/>
      <c r="E202" s="123"/>
      <c r="F202" s="122"/>
      <c r="I202" s="122"/>
      <c r="J202" s="122"/>
      <c r="K202" s="122"/>
    </row>
    <row r="203" spans="1:11" ht="15">
      <c r="A203" s="123"/>
      <c r="B203" s="122"/>
      <c r="C203" s="122"/>
      <c r="D203" s="122"/>
      <c r="E203" s="123"/>
      <c r="F203" s="122"/>
      <c r="I203" s="122"/>
      <c r="J203" s="122"/>
      <c r="K203" s="122"/>
    </row>
    <row r="204" spans="1:11" ht="15">
      <c r="A204" s="123"/>
      <c r="B204" s="122"/>
      <c r="C204" s="122"/>
      <c r="D204" s="122"/>
      <c r="E204" s="123"/>
      <c r="F204" s="122"/>
      <c r="I204" s="122"/>
      <c r="J204" s="122"/>
      <c r="K204" s="122"/>
    </row>
    <row r="205" spans="1:11" ht="15">
      <c r="A205" s="123"/>
      <c r="B205" s="122"/>
      <c r="C205" s="122"/>
      <c r="D205" s="122"/>
      <c r="E205" s="123"/>
      <c r="F205" s="122"/>
      <c r="I205" s="122"/>
      <c r="J205" s="122"/>
      <c r="K205" s="122"/>
    </row>
    <row r="206" spans="1:11" ht="15">
      <c r="A206" s="123"/>
      <c r="B206" s="122"/>
      <c r="C206" s="122"/>
      <c r="D206" s="122"/>
      <c r="E206" s="123"/>
      <c r="F206" s="122"/>
      <c r="I206" s="122"/>
      <c r="J206" s="122"/>
      <c r="K206" s="122"/>
    </row>
    <row r="207" spans="1:11" ht="15">
      <c r="A207" s="123"/>
      <c r="B207" s="122"/>
      <c r="C207" s="122"/>
      <c r="D207" s="122"/>
      <c r="E207" s="123"/>
      <c r="F207" s="122"/>
      <c r="I207" s="122"/>
      <c r="J207" s="122"/>
      <c r="K207" s="122"/>
    </row>
    <row r="208" spans="1:11" ht="15">
      <c r="A208" s="123"/>
      <c r="B208" s="122"/>
      <c r="C208" s="122"/>
      <c r="D208" s="122"/>
      <c r="E208" s="123"/>
      <c r="F208" s="122"/>
      <c r="I208" s="122"/>
      <c r="J208" s="122"/>
      <c r="K208" s="122"/>
    </row>
    <row r="209" spans="1:11" ht="15">
      <c r="A209" s="123"/>
      <c r="B209" s="122"/>
      <c r="C209" s="122"/>
      <c r="D209" s="122"/>
      <c r="E209" s="123"/>
      <c r="F209" s="122"/>
      <c r="I209" s="122"/>
      <c r="J209" s="122"/>
      <c r="K209" s="122"/>
    </row>
    <row r="210" spans="1:11" ht="15">
      <c r="A210" s="123"/>
      <c r="B210" s="122"/>
      <c r="C210" s="122"/>
      <c r="D210" s="122"/>
      <c r="E210" s="123"/>
      <c r="F210" s="122"/>
      <c r="I210" s="122"/>
      <c r="J210" s="122"/>
      <c r="K210" s="122"/>
    </row>
    <row r="211" spans="1:11" ht="15">
      <c r="A211" s="123"/>
      <c r="B211" s="122"/>
      <c r="C211" s="122"/>
      <c r="D211" s="122"/>
      <c r="E211" s="123"/>
      <c r="F211" s="122"/>
      <c r="I211" s="122"/>
      <c r="J211" s="122"/>
      <c r="K211" s="122"/>
    </row>
    <row r="212" spans="1:11" ht="15">
      <c r="A212" s="123"/>
      <c r="B212" s="122"/>
      <c r="C212" s="122"/>
      <c r="D212" s="122"/>
      <c r="E212" s="123"/>
      <c r="F212" s="122"/>
      <c r="I212" s="122"/>
      <c r="J212" s="122"/>
      <c r="K212" s="122"/>
    </row>
    <row r="213" spans="1:11" ht="15">
      <c r="A213" s="123"/>
      <c r="B213" s="122"/>
      <c r="C213" s="122"/>
      <c r="D213" s="122"/>
      <c r="E213" s="123"/>
      <c r="F213" s="122"/>
      <c r="I213" s="122"/>
      <c r="J213" s="122"/>
      <c r="K213" s="122"/>
    </row>
    <row r="214" spans="1:11" ht="15">
      <c r="A214" s="123"/>
      <c r="B214" s="122"/>
      <c r="C214" s="122"/>
      <c r="D214" s="122"/>
      <c r="E214" s="123"/>
      <c r="F214" s="122"/>
      <c r="I214" s="122"/>
      <c r="J214" s="122"/>
      <c r="K214" s="122"/>
    </row>
    <row r="215" spans="1:11" ht="15">
      <c r="A215" s="123"/>
      <c r="B215" s="122"/>
      <c r="C215" s="122"/>
      <c r="D215" s="122"/>
      <c r="E215" s="123"/>
      <c r="F215" s="122"/>
      <c r="I215" s="122"/>
      <c r="J215" s="122"/>
      <c r="K215" s="122"/>
    </row>
    <row r="216" spans="1:11" ht="15">
      <c r="A216" s="123"/>
      <c r="B216" s="122"/>
      <c r="C216" s="122"/>
      <c r="D216" s="122"/>
      <c r="E216" s="123"/>
      <c r="F216" s="122"/>
      <c r="I216" s="122"/>
      <c r="J216" s="122"/>
      <c r="K216" s="122"/>
    </row>
    <row r="217" spans="1:11" ht="15">
      <c r="A217" s="123"/>
      <c r="B217" s="122"/>
      <c r="C217" s="122"/>
      <c r="D217" s="122"/>
      <c r="E217" s="123"/>
      <c r="F217" s="122"/>
      <c r="I217" s="122"/>
      <c r="J217" s="122"/>
      <c r="K217" s="122"/>
    </row>
    <row r="218" spans="1:11" ht="15">
      <c r="A218" s="123"/>
      <c r="B218" s="122"/>
      <c r="C218" s="122"/>
      <c r="D218" s="122"/>
      <c r="E218" s="123"/>
      <c r="F218" s="122"/>
      <c r="I218" s="122"/>
      <c r="J218" s="122"/>
      <c r="K218" s="122"/>
    </row>
    <row r="219" spans="1:11" ht="15">
      <c r="A219" s="123"/>
      <c r="B219" s="122"/>
      <c r="C219" s="122"/>
      <c r="D219" s="122"/>
      <c r="E219" s="123"/>
      <c r="F219" s="122"/>
      <c r="I219" s="122"/>
      <c r="J219" s="122"/>
      <c r="K219" s="122"/>
    </row>
    <row r="220" spans="1:11" ht="15">
      <c r="A220" s="123"/>
      <c r="B220" s="122"/>
      <c r="C220" s="122"/>
      <c r="D220" s="122"/>
      <c r="E220" s="123"/>
      <c r="F220" s="122"/>
      <c r="I220" s="122"/>
      <c r="J220" s="122"/>
      <c r="K220" s="122"/>
    </row>
    <row r="221" spans="1:11" ht="15">
      <c r="A221" s="123"/>
      <c r="B221" s="122"/>
      <c r="C221" s="122"/>
      <c r="D221" s="122"/>
      <c r="E221" s="123"/>
      <c r="F221" s="122"/>
      <c r="I221" s="122"/>
      <c r="J221" s="122"/>
      <c r="K221" s="122"/>
    </row>
    <row r="222" spans="1:11" ht="15">
      <c r="A222" s="123"/>
      <c r="B222" s="122"/>
      <c r="C222" s="122"/>
      <c r="D222" s="122"/>
      <c r="E222" s="123"/>
      <c r="F222" s="122"/>
      <c r="I222" s="122"/>
      <c r="J222" s="122"/>
      <c r="K222" s="122"/>
    </row>
    <row r="223" spans="1:11" ht="15">
      <c r="A223" s="123"/>
      <c r="B223" s="122"/>
      <c r="C223" s="122"/>
      <c r="D223" s="122"/>
      <c r="E223" s="123"/>
      <c r="F223" s="122"/>
      <c r="I223" s="122"/>
      <c r="J223" s="122"/>
      <c r="K223" s="122"/>
    </row>
    <row r="224" spans="1:11" ht="15">
      <c r="A224" s="123"/>
      <c r="B224" s="122"/>
      <c r="C224" s="122"/>
      <c r="D224" s="122"/>
      <c r="E224" s="123"/>
      <c r="F224" s="122"/>
      <c r="I224" s="122"/>
      <c r="J224" s="122"/>
      <c r="K224" s="122"/>
    </row>
    <row r="225" spans="1:11" ht="15">
      <c r="A225" s="123"/>
      <c r="B225" s="122"/>
      <c r="C225" s="122"/>
      <c r="D225" s="122"/>
      <c r="E225" s="123"/>
      <c r="F225" s="122"/>
      <c r="I225" s="122"/>
      <c r="J225" s="122"/>
      <c r="K225" s="122"/>
    </row>
    <row r="226" spans="1:11" ht="15">
      <c r="A226" s="123"/>
      <c r="B226" s="122"/>
      <c r="C226" s="122"/>
      <c r="D226" s="122"/>
      <c r="E226" s="123"/>
      <c r="F226" s="122"/>
      <c r="I226" s="122"/>
      <c r="J226" s="122"/>
      <c r="K226" s="122"/>
    </row>
    <row r="227" spans="1:11" ht="15">
      <c r="A227" s="123"/>
      <c r="B227" s="122"/>
      <c r="C227" s="122"/>
      <c r="D227" s="122"/>
      <c r="E227" s="123"/>
      <c r="F227" s="122"/>
      <c r="I227" s="122"/>
      <c r="J227" s="122"/>
      <c r="K227" s="122"/>
    </row>
    <row r="228" spans="1:11" ht="15">
      <c r="A228" s="123"/>
      <c r="B228" s="122"/>
      <c r="C228" s="122"/>
      <c r="D228" s="122"/>
      <c r="E228" s="123"/>
      <c r="F228" s="122"/>
      <c r="I228" s="122"/>
      <c r="J228" s="122"/>
      <c r="K228" s="122"/>
    </row>
    <row r="229" spans="1:11" ht="15">
      <c r="A229" s="123"/>
      <c r="B229" s="122"/>
      <c r="C229" s="122"/>
      <c r="D229" s="122"/>
      <c r="E229" s="123"/>
      <c r="F229" s="122"/>
      <c r="I229" s="122"/>
      <c r="J229" s="122"/>
      <c r="K229" s="122"/>
    </row>
    <row r="230" spans="1:11" ht="15">
      <c r="A230" s="123"/>
      <c r="B230" s="122"/>
      <c r="C230" s="122"/>
      <c r="D230" s="122"/>
      <c r="E230" s="123"/>
      <c r="F230" s="122"/>
      <c r="I230" s="122"/>
      <c r="J230" s="122"/>
      <c r="K230" s="122"/>
    </row>
    <row r="231" spans="1:11" ht="15">
      <c r="A231" s="123"/>
      <c r="B231" s="122"/>
      <c r="C231" s="122"/>
      <c r="D231" s="122"/>
      <c r="E231" s="123"/>
      <c r="F231" s="122"/>
      <c r="I231" s="122"/>
      <c r="J231" s="122"/>
      <c r="K231" s="122"/>
    </row>
    <row r="232" spans="1:11" ht="15">
      <c r="A232" s="123"/>
      <c r="B232" s="122"/>
      <c r="C232" s="122"/>
      <c r="D232" s="122"/>
      <c r="E232" s="123"/>
      <c r="F232" s="122"/>
      <c r="I232" s="122"/>
      <c r="J232" s="122"/>
      <c r="K232" s="122"/>
    </row>
    <row r="233" spans="1:11" ht="15">
      <c r="A233" s="123"/>
      <c r="B233" s="122"/>
      <c r="C233" s="122"/>
      <c r="D233" s="122"/>
      <c r="E233" s="123"/>
      <c r="F233" s="122"/>
      <c r="I233" s="122"/>
      <c r="J233" s="122"/>
      <c r="K233" s="122"/>
    </row>
    <row r="234" spans="1:11" ht="15">
      <c r="A234" s="123"/>
      <c r="B234" s="122"/>
      <c r="C234" s="122"/>
      <c r="D234" s="122"/>
      <c r="E234" s="123"/>
      <c r="F234" s="122"/>
      <c r="I234" s="122"/>
      <c r="J234" s="122"/>
      <c r="K234" s="122"/>
    </row>
    <row r="235" spans="1:11" ht="15">
      <c r="A235" s="123"/>
      <c r="B235" s="122"/>
      <c r="C235" s="122"/>
      <c r="D235" s="122"/>
      <c r="E235" s="123"/>
      <c r="F235" s="122"/>
      <c r="I235" s="122"/>
      <c r="J235" s="122"/>
      <c r="K235" s="122"/>
    </row>
    <row r="236" spans="1:11" ht="15">
      <c r="A236" s="123"/>
      <c r="B236" s="122"/>
      <c r="C236" s="122"/>
      <c r="D236" s="122"/>
      <c r="E236" s="123"/>
      <c r="F236" s="122"/>
      <c r="I236" s="122"/>
      <c r="J236" s="122"/>
      <c r="K236" s="122"/>
    </row>
    <row r="237" spans="1:11" ht="15">
      <c r="A237" s="123"/>
      <c r="B237" s="122"/>
      <c r="C237" s="122"/>
      <c r="D237" s="122"/>
      <c r="E237" s="123"/>
      <c r="F237" s="122"/>
      <c r="I237" s="122"/>
      <c r="J237" s="122"/>
      <c r="K237" s="122"/>
    </row>
    <row r="238" spans="1:11" ht="15">
      <c r="A238" s="123"/>
      <c r="B238" s="122"/>
      <c r="C238" s="122"/>
      <c r="D238" s="122"/>
      <c r="E238" s="123"/>
      <c r="F238" s="122"/>
      <c r="I238" s="122"/>
      <c r="J238" s="122"/>
      <c r="K238" s="122"/>
    </row>
    <row r="239" spans="1:11" ht="15">
      <c r="A239" s="123"/>
      <c r="B239" s="122"/>
      <c r="C239" s="122"/>
      <c r="D239" s="122"/>
      <c r="E239" s="123"/>
      <c r="F239" s="122"/>
      <c r="I239" s="122"/>
      <c r="J239" s="122"/>
      <c r="K239" s="122"/>
    </row>
    <row r="240" spans="1:11" ht="15">
      <c r="A240" s="123"/>
      <c r="B240" s="122"/>
      <c r="C240" s="122"/>
      <c r="D240" s="122"/>
      <c r="E240" s="123"/>
      <c r="F240" s="122"/>
      <c r="I240" s="122"/>
      <c r="J240" s="122"/>
      <c r="K240" s="122"/>
    </row>
    <row r="241" spans="1:11" ht="15">
      <c r="A241" s="123"/>
      <c r="B241" s="122"/>
      <c r="C241" s="122"/>
      <c r="D241" s="122"/>
      <c r="E241" s="123"/>
      <c r="F241" s="122"/>
      <c r="I241" s="122"/>
      <c r="J241" s="122"/>
      <c r="K241" s="122"/>
    </row>
    <row r="242" spans="1:11" ht="15">
      <c r="A242" s="123"/>
      <c r="B242" s="122"/>
      <c r="C242" s="122"/>
      <c r="D242" s="122"/>
      <c r="E242" s="123"/>
      <c r="F242" s="122"/>
      <c r="I242" s="122"/>
      <c r="J242" s="122"/>
      <c r="K242" s="122"/>
    </row>
    <row r="243" spans="1:11" ht="15">
      <c r="A243" s="123"/>
      <c r="B243" s="122"/>
      <c r="C243" s="122"/>
      <c r="D243" s="122"/>
      <c r="E243" s="123"/>
      <c r="F243" s="122"/>
      <c r="I243" s="122"/>
      <c r="J243" s="122"/>
      <c r="K243" s="122"/>
    </row>
    <row r="244" spans="1:11" ht="15">
      <c r="A244" s="123"/>
      <c r="B244" s="122"/>
      <c r="C244" s="122"/>
      <c r="D244" s="122"/>
      <c r="E244" s="123"/>
      <c r="F244" s="122"/>
      <c r="I244" s="122"/>
      <c r="J244" s="122"/>
      <c r="K244" s="122"/>
    </row>
    <row r="245" spans="1:11" ht="15">
      <c r="A245" s="123"/>
      <c r="B245" s="122"/>
      <c r="C245" s="122"/>
      <c r="D245" s="122"/>
      <c r="E245" s="123"/>
      <c r="F245" s="122"/>
      <c r="I245" s="122"/>
      <c r="J245" s="122"/>
      <c r="K245" s="122"/>
    </row>
    <row r="246" spans="1:11" ht="15">
      <c r="A246" s="123"/>
      <c r="B246" s="122"/>
      <c r="C246" s="122"/>
      <c r="D246" s="122"/>
      <c r="E246" s="123"/>
      <c r="F246" s="122"/>
      <c r="I246" s="122"/>
      <c r="J246" s="122"/>
      <c r="K246" s="122"/>
    </row>
    <row r="247" spans="1:11" ht="15">
      <c r="A247" s="123"/>
      <c r="B247" s="122"/>
      <c r="C247" s="122"/>
      <c r="D247" s="122"/>
      <c r="E247" s="123"/>
      <c r="F247" s="122"/>
      <c r="I247" s="122"/>
      <c r="J247" s="122"/>
      <c r="K247" s="122"/>
    </row>
    <row r="248" spans="1:11" ht="15">
      <c r="A248" s="123"/>
      <c r="B248" s="122"/>
      <c r="C248" s="122"/>
      <c r="D248" s="122"/>
      <c r="E248" s="123"/>
      <c r="F248" s="122"/>
      <c r="I248" s="122"/>
      <c r="J248" s="122"/>
      <c r="K248" s="122"/>
    </row>
    <row r="249" spans="1:11" ht="15">
      <c r="A249" s="123"/>
      <c r="B249" s="122"/>
      <c r="C249" s="122"/>
      <c r="D249" s="122"/>
      <c r="E249" s="123"/>
      <c r="F249" s="122"/>
      <c r="I249" s="122"/>
      <c r="J249" s="122"/>
      <c r="K249" s="122"/>
    </row>
    <row r="250" spans="1:11" ht="15">
      <c r="A250" s="123"/>
      <c r="B250" s="122"/>
      <c r="C250" s="122"/>
      <c r="D250" s="122"/>
      <c r="E250" s="123"/>
      <c r="F250" s="122"/>
      <c r="I250" s="122"/>
      <c r="J250" s="122"/>
      <c r="K250" s="122"/>
    </row>
    <row r="251" spans="1:11" ht="15">
      <c r="A251" s="123"/>
      <c r="B251" s="122"/>
      <c r="C251" s="122"/>
      <c r="D251" s="122"/>
      <c r="E251" s="123"/>
      <c r="F251" s="122"/>
      <c r="I251" s="122"/>
      <c r="J251" s="122"/>
      <c r="K251" s="122"/>
    </row>
    <row r="252" spans="1:11" ht="15">
      <c r="A252" s="123"/>
      <c r="B252" s="122"/>
      <c r="C252" s="122"/>
      <c r="D252" s="122"/>
      <c r="E252" s="123"/>
      <c r="F252" s="122"/>
      <c r="I252" s="122"/>
      <c r="J252" s="122"/>
      <c r="K252" s="122"/>
    </row>
    <row r="253" spans="1:11" ht="15">
      <c r="A253" s="123"/>
      <c r="B253" s="122"/>
      <c r="C253" s="122"/>
      <c r="D253" s="122"/>
      <c r="E253" s="123"/>
      <c r="F253" s="122"/>
      <c r="I253" s="122"/>
      <c r="J253" s="122"/>
      <c r="K253" s="122"/>
    </row>
    <row r="254" spans="1:11" ht="15">
      <c r="A254" s="123"/>
      <c r="B254" s="122"/>
      <c r="C254" s="122"/>
      <c r="D254" s="122"/>
      <c r="E254" s="123"/>
      <c r="F254" s="122"/>
      <c r="I254" s="122"/>
      <c r="J254" s="122"/>
      <c r="K254" s="122"/>
    </row>
    <row r="255" spans="1:11" ht="15">
      <c r="A255" s="123"/>
      <c r="B255" s="122"/>
      <c r="C255" s="122"/>
      <c r="D255" s="122"/>
      <c r="E255" s="123"/>
      <c r="F255" s="122"/>
      <c r="I255" s="122"/>
      <c r="J255" s="122"/>
      <c r="K255" s="122"/>
    </row>
    <row r="256" spans="1:11" ht="15">
      <c r="A256" s="123"/>
      <c r="B256" s="122"/>
      <c r="C256" s="122"/>
      <c r="D256" s="122"/>
      <c r="E256" s="123"/>
      <c r="F256" s="122"/>
      <c r="I256" s="122"/>
      <c r="J256" s="122"/>
      <c r="K256" s="122"/>
    </row>
    <row r="257" spans="1:11" ht="15">
      <c r="A257" s="123"/>
      <c r="B257" s="122"/>
      <c r="C257" s="122"/>
      <c r="D257" s="122"/>
      <c r="E257" s="123"/>
      <c r="F257" s="122"/>
      <c r="I257" s="122"/>
      <c r="J257" s="122"/>
      <c r="K257" s="122"/>
    </row>
    <row r="258" spans="1:11" ht="15">
      <c r="A258" s="123"/>
      <c r="B258" s="122"/>
      <c r="C258" s="122"/>
      <c r="D258" s="122"/>
      <c r="E258" s="123"/>
      <c r="F258" s="122"/>
      <c r="I258" s="122"/>
      <c r="J258" s="122"/>
      <c r="K258" s="122"/>
    </row>
    <row r="259" spans="1:11" ht="15">
      <c r="A259" s="123"/>
      <c r="B259" s="122"/>
      <c r="C259" s="122"/>
      <c r="D259" s="122"/>
      <c r="E259" s="123"/>
      <c r="F259" s="122"/>
      <c r="I259" s="122"/>
      <c r="J259" s="122"/>
      <c r="K259" s="122"/>
    </row>
    <row r="260" spans="1:11" ht="15">
      <c r="A260" s="123"/>
      <c r="B260" s="122"/>
      <c r="C260" s="122"/>
      <c r="D260" s="122"/>
      <c r="E260" s="123"/>
      <c r="F260" s="122"/>
      <c r="I260" s="122"/>
      <c r="J260" s="122"/>
      <c r="K260" s="122"/>
    </row>
    <row r="261" spans="1:11" ht="15">
      <c r="A261" s="123"/>
      <c r="B261" s="122"/>
      <c r="C261" s="122"/>
      <c r="D261" s="122"/>
      <c r="E261" s="123"/>
      <c r="F261" s="122"/>
      <c r="I261" s="122"/>
      <c r="J261" s="122"/>
      <c r="K261" s="122"/>
    </row>
    <row r="262" spans="1:11" ht="15">
      <c r="A262" s="123"/>
      <c r="B262" s="122"/>
      <c r="C262" s="122"/>
      <c r="D262" s="122"/>
      <c r="E262" s="123"/>
      <c r="F262" s="122"/>
      <c r="I262" s="122"/>
      <c r="J262" s="122"/>
      <c r="K262" s="122"/>
    </row>
    <row r="263" spans="1:11" ht="15">
      <c r="A263" s="123"/>
      <c r="B263" s="122"/>
      <c r="C263" s="122"/>
      <c r="D263" s="122"/>
      <c r="E263" s="123"/>
      <c r="F263" s="122"/>
      <c r="I263" s="122"/>
      <c r="J263" s="122"/>
      <c r="K263" s="122"/>
    </row>
    <row r="264" spans="1:11" ht="15">
      <c r="A264" s="123"/>
      <c r="B264" s="122"/>
      <c r="C264" s="122"/>
      <c r="D264" s="122"/>
      <c r="E264" s="123"/>
      <c r="F264" s="122"/>
      <c r="I264" s="122"/>
      <c r="J264" s="122"/>
      <c r="K264" s="122"/>
    </row>
    <row r="265" spans="1:11" ht="15">
      <c r="A265" s="123"/>
      <c r="B265" s="122"/>
      <c r="C265" s="122"/>
      <c r="D265" s="122"/>
      <c r="E265" s="123"/>
      <c r="F265" s="122"/>
      <c r="I265" s="122"/>
      <c r="J265" s="122"/>
      <c r="K265" s="122"/>
    </row>
    <row r="266" spans="1:11" ht="15">
      <c r="A266" s="123"/>
      <c r="B266" s="122"/>
      <c r="C266" s="122"/>
      <c r="D266" s="122"/>
      <c r="E266" s="123"/>
      <c r="F266" s="122"/>
      <c r="I266" s="122"/>
      <c r="J266" s="122"/>
      <c r="K266" s="122"/>
    </row>
    <row r="267" spans="1:11" ht="15">
      <c r="A267" s="123"/>
      <c r="B267" s="122"/>
      <c r="C267" s="122"/>
      <c r="D267" s="122"/>
      <c r="E267" s="123"/>
      <c r="F267" s="122"/>
      <c r="I267" s="122"/>
      <c r="J267" s="122"/>
      <c r="K267" s="122"/>
    </row>
    <row r="268" spans="1:11" ht="15">
      <c r="A268" s="123"/>
      <c r="B268" s="122"/>
      <c r="C268" s="122"/>
      <c r="D268" s="122"/>
      <c r="E268" s="123"/>
      <c r="F268" s="122"/>
      <c r="I268" s="122"/>
      <c r="J268" s="122"/>
      <c r="K268" s="122"/>
    </row>
    <row r="269" spans="1:11" ht="15">
      <c r="A269" s="123"/>
      <c r="B269" s="122"/>
      <c r="C269" s="122"/>
      <c r="D269" s="122"/>
      <c r="E269" s="123"/>
      <c r="F269" s="122"/>
      <c r="I269" s="122"/>
      <c r="J269" s="122"/>
      <c r="K269" s="122"/>
    </row>
    <row r="270" spans="1:11" ht="15">
      <c r="A270" s="123"/>
      <c r="B270" s="122"/>
      <c r="C270" s="122"/>
      <c r="D270" s="122"/>
      <c r="E270" s="123"/>
      <c r="F270" s="122"/>
      <c r="I270" s="122"/>
      <c r="J270" s="122"/>
      <c r="K270" s="122"/>
    </row>
    <row r="271" spans="1:11" ht="15">
      <c r="A271" s="123"/>
      <c r="B271" s="122"/>
      <c r="C271" s="122"/>
      <c r="D271" s="122"/>
      <c r="E271" s="123"/>
      <c r="F271" s="122"/>
      <c r="I271" s="122"/>
      <c r="J271" s="122"/>
      <c r="K271" s="122"/>
    </row>
    <row r="272" spans="1:11" ht="15">
      <c r="A272" s="123"/>
      <c r="B272" s="122"/>
      <c r="C272" s="122"/>
      <c r="D272" s="122"/>
      <c r="E272" s="123"/>
      <c r="F272" s="122"/>
      <c r="I272" s="122"/>
      <c r="J272" s="122"/>
      <c r="K272" s="122"/>
    </row>
    <row r="273" spans="1:11" ht="15">
      <c r="A273" s="123"/>
      <c r="B273" s="122"/>
      <c r="C273" s="122"/>
      <c r="D273" s="122"/>
      <c r="E273" s="123"/>
      <c r="F273" s="122"/>
      <c r="I273" s="122"/>
      <c r="J273" s="122"/>
      <c r="K273" s="122"/>
    </row>
    <row r="274" spans="1:11" ht="15">
      <c r="A274" s="123"/>
      <c r="B274" s="122"/>
      <c r="C274" s="122"/>
      <c r="D274" s="122"/>
      <c r="E274" s="123"/>
      <c r="F274" s="122"/>
      <c r="I274" s="122"/>
      <c r="J274" s="122"/>
      <c r="K274" s="122"/>
    </row>
    <row r="275" spans="1:11" ht="15">
      <c r="A275" s="123"/>
      <c r="B275" s="122"/>
      <c r="C275" s="122"/>
      <c r="D275" s="122"/>
      <c r="E275" s="123"/>
      <c r="F275" s="122"/>
      <c r="I275" s="122"/>
      <c r="J275" s="122"/>
      <c r="K275" s="122"/>
    </row>
    <row r="276" spans="1:11" ht="15">
      <c r="A276" s="123"/>
      <c r="B276" s="122"/>
      <c r="C276" s="122"/>
      <c r="D276" s="122"/>
      <c r="E276" s="123"/>
      <c r="F276" s="122"/>
      <c r="I276" s="122"/>
      <c r="J276" s="122"/>
      <c r="K276" s="122"/>
    </row>
    <row r="277" spans="1:11" ht="15">
      <c r="A277" s="123"/>
      <c r="B277" s="122"/>
      <c r="C277" s="122"/>
      <c r="D277" s="122"/>
      <c r="E277" s="123"/>
      <c r="F277" s="122"/>
      <c r="I277" s="122"/>
      <c r="J277" s="122"/>
      <c r="K277" s="122"/>
    </row>
    <row r="278" spans="1:11" ht="15">
      <c r="A278" s="123"/>
      <c r="B278" s="122"/>
      <c r="C278" s="122"/>
      <c r="D278" s="122"/>
      <c r="E278" s="123"/>
      <c r="F278" s="122"/>
      <c r="I278" s="122"/>
      <c r="J278" s="122"/>
      <c r="K278" s="122"/>
    </row>
    <row r="279" spans="1:11" ht="15">
      <c r="A279" s="123"/>
      <c r="B279" s="122"/>
      <c r="C279" s="122"/>
      <c r="D279" s="122"/>
      <c r="E279" s="123"/>
      <c r="F279" s="122"/>
      <c r="I279" s="122"/>
      <c r="J279" s="122"/>
      <c r="K279" s="122"/>
    </row>
    <row r="280" spans="1:11" ht="15">
      <c r="A280" s="123"/>
      <c r="B280" s="122"/>
      <c r="C280" s="122"/>
      <c r="D280" s="122"/>
      <c r="E280" s="123"/>
      <c r="F280" s="122"/>
      <c r="I280" s="122"/>
      <c r="J280" s="122"/>
      <c r="K280" s="122"/>
    </row>
    <row r="281" spans="1:11" ht="15">
      <c r="A281" s="123"/>
      <c r="B281" s="122"/>
      <c r="C281" s="122"/>
      <c r="D281" s="122"/>
      <c r="E281" s="123"/>
      <c r="F281" s="122"/>
      <c r="I281" s="122"/>
      <c r="J281" s="122"/>
      <c r="K281" s="122"/>
    </row>
    <row r="282" spans="1:11" ht="15">
      <c r="A282" s="123"/>
      <c r="B282" s="122"/>
      <c r="C282" s="122"/>
      <c r="D282" s="122"/>
      <c r="E282" s="123"/>
      <c r="F282" s="122"/>
      <c r="I282" s="122"/>
      <c r="J282" s="122"/>
      <c r="K282" s="122"/>
    </row>
    <row r="283" spans="1:11" ht="15">
      <c r="A283" s="123"/>
      <c r="B283" s="122"/>
      <c r="C283" s="122"/>
      <c r="D283" s="122"/>
      <c r="E283" s="123"/>
      <c r="F283" s="122"/>
      <c r="I283" s="122"/>
      <c r="J283" s="122"/>
      <c r="K283" s="122"/>
    </row>
    <row r="284" spans="1:11" ht="15">
      <c r="A284" s="123"/>
      <c r="B284" s="122"/>
      <c r="C284" s="122"/>
      <c r="D284" s="122"/>
      <c r="E284" s="123"/>
      <c r="F284" s="122"/>
      <c r="I284" s="122"/>
      <c r="J284" s="122"/>
      <c r="K284" s="122"/>
    </row>
    <row r="285" spans="1:11" ht="15">
      <c r="A285" s="123"/>
      <c r="B285" s="122"/>
      <c r="C285" s="122"/>
      <c r="D285" s="122"/>
      <c r="E285" s="123"/>
      <c r="F285" s="122"/>
      <c r="I285" s="122"/>
      <c r="J285" s="122"/>
      <c r="K285" s="122"/>
    </row>
    <row r="286" spans="1:11" ht="15">
      <c r="A286" s="123"/>
      <c r="B286" s="122"/>
      <c r="C286" s="122"/>
      <c r="D286" s="122"/>
      <c r="E286" s="123"/>
      <c r="F286" s="122"/>
      <c r="I286" s="122"/>
      <c r="J286" s="122"/>
      <c r="K286" s="122"/>
    </row>
    <row r="287" spans="1:11" ht="15">
      <c r="A287" s="123"/>
      <c r="B287" s="122"/>
      <c r="C287" s="122"/>
      <c r="D287" s="122"/>
      <c r="E287" s="123"/>
      <c r="F287" s="122"/>
      <c r="I287" s="122"/>
      <c r="J287" s="122"/>
      <c r="K287" s="122"/>
    </row>
    <row r="288" spans="1:11" ht="15">
      <c r="A288" s="123"/>
      <c r="B288" s="122"/>
      <c r="C288" s="122"/>
      <c r="D288" s="122"/>
      <c r="E288" s="123"/>
      <c r="F288" s="122"/>
      <c r="I288" s="122"/>
      <c r="J288" s="122"/>
      <c r="K288" s="122"/>
    </row>
    <row r="289" spans="1:11" ht="15">
      <c r="A289" s="123"/>
      <c r="B289" s="122"/>
      <c r="C289" s="122"/>
      <c r="D289" s="122"/>
      <c r="E289" s="123"/>
      <c r="F289" s="122"/>
      <c r="I289" s="122"/>
      <c r="J289" s="122"/>
      <c r="K289" s="122"/>
    </row>
    <row r="290" spans="1:11" ht="15">
      <c r="A290" s="123"/>
      <c r="B290" s="122"/>
      <c r="C290" s="122"/>
      <c r="D290" s="122"/>
      <c r="E290" s="123"/>
      <c r="F290" s="122"/>
      <c r="I290" s="122"/>
      <c r="J290" s="122"/>
      <c r="K290" s="122"/>
    </row>
    <row r="291" spans="1:11" ht="15">
      <c r="A291" s="123"/>
      <c r="B291" s="122"/>
      <c r="C291" s="122"/>
      <c r="D291" s="122"/>
      <c r="E291" s="123"/>
      <c r="F291" s="122"/>
      <c r="I291" s="122"/>
      <c r="J291" s="122"/>
      <c r="K291" s="122"/>
    </row>
    <row r="292" spans="1:11" ht="15">
      <c r="A292" s="123"/>
      <c r="B292" s="122"/>
      <c r="C292" s="122"/>
      <c r="D292" s="122"/>
      <c r="E292" s="123"/>
      <c r="F292" s="122"/>
      <c r="I292" s="122"/>
      <c r="J292" s="122"/>
      <c r="K292" s="122"/>
    </row>
    <row r="293" spans="1:11" ht="15">
      <c r="A293" s="123"/>
      <c r="B293" s="122"/>
      <c r="C293" s="122"/>
      <c r="D293" s="122"/>
      <c r="E293" s="123"/>
      <c r="F293" s="122"/>
      <c r="I293" s="122"/>
      <c r="J293" s="122"/>
      <c r="K293" s="122"/>
    </row>
    <row r="294" spans="1:11" ht="15">
      <c r="A294" s="123"/>
      <c r="B294" s="122"/>
      <c r="C294" s="122"/>
      <c r="D294" s="122"/>
      <c r="E294" s="123"/>
      <c r="F294" s="122"/>
      <c r="I294" s="122"/>
      <c r="J294" s="122"/>
      <c r="K294" s="122"/>
    </row>
    <row r="295" spans="1:11" ht="15">
      <c r="A295" s="123"/>
      <c r="B295" s="122"/>
      <c r="C295" s="122"/>
      <c r="D295" s="122"/>
      <c r="E295" s="123"/>
      <c r="F295" s="122"/>
      <c r="I295" s="122"/>
      <c r="J295" s="122"/>
      <c r="K295" s="122"/>
    </row>
    <row r="296" spans="1:11" ht="15">
      <c r="A296" s="123"/>
      <c r="B296" s="122"/>
      <c r="C296" s="122"/>
      <c r="D296" s="122"/>
      <c r="E296" s="123"/>
      <c r="F296" s="122"/>
      <c r="I296" s="122"/>
      <c r="J296" s="122"/>
      <c r="K296" s="122"/>
    </row>
    <row r="297" spans="1:11" ht="15">
      <c r="A297" s="123"/>
      <c r="B297" s="122"/>
      <c r="C297" s="122"/>
      <c r="D297" s="122"/>
      <c r="E297" s="123"/>
      <c r="F297" s="122"/>
      <c r="I297" s="122"/>
      <c r="J297" s="122"/>
      <c r="K297" s="122"/>
    </row>
    <row r="298" spans="1:11" ht="15">
      <c r="A298" s="123"/>
      <c r="B298" s="122"/>
      <c r="C298" s="122"/>
      <c r="D298" s="122"/>
      <c r="E298" s="123"/>
      <c r="F298" s="122"/>
      <c r="I298" s="122"/>
      <c r="J298" s="122"/>
      <c r="K298" s="122"/>
    </row>
    <row r="299" spans="1:11" ht="15">
      <c r="A299" s="123"/>
      <c r="B299" s="122"/>
      <c r="C299" s="122"/>
      <c r="D299" s="122"/>
      <c r="E299" s="123"/>
      <c r="F299" s="122"/>
      <c r="I299" s="122"/>
      <c r="J299" s="122"/>
      <c r="K299" s="122"/>
    </row>
    <row r="300" spans="1:11" ht="15">
      <c r="A300" s="123"/>
      <c r="B300" s="122"/>
      <c r="C300" s="122"/>
      <c r="D300" s="122"/>
      <c r="E300" s="123"/>
      <c r="F300" s="122"/>
      <c r="I300" s="122"/>
      <c r="J300" s="122"/>
      <c r="K300" s="122"/>
    </row>
    <row r="301" spans="1:11" ht="15">
      <c r="A301" s="123"/>
      <c r="B301" s="122"/>
      <c r="C301" s="122"/>
      <c r="D301" s="122"/>
      <c r="E301" s="123"/>
      <c r="F301" s="122"/>
      <c r="I301" s="122"/>
      <c r="J301" s="122"/>
      <c r="K301" s="122"/>
    </row>
    <row r="302" spans="1:11" ht="15">
      <c r="A302" s="123"/>
      <c r="B302" s="122"/>
      <c r="C302" s="122"/>
      <c r="D302" s="122"/>
      <c r="E302" s="123"/>
      <c r="F302" s="122"/>
      <c r="I302" s="122"/>
      <c r="J302" s="122"/>
      <c r="K302" s="122"/>
    </row>
    <row r="303" spans="1:11" ht="15">
      <c r="A303" s="123"/>
      <c r="B303" s="122"/>
      <c r="C303" s="122"/>
      <c r="D303" s="122"/>
      <c r="E303" s="123"/>
      <c r="F303" s="122"/>
      <c r="I303" s="122"/>
      <c r="J303" s="122"/>
      <c r="K303" s="122"/>
    </row>
    <row r="304" spans="1:11" ht="15">
      <c r="A304" s="123"/>
      <c r="B304" s="122"/>
      <c r="C304" s="122"/>
      <c r="D304" s="122"/>
      <c r="E304" s="123"/>
      <c r="F304" s="122"/>
      <c r="I304" s="122"/>
      <c r="J304" s="122"/>
      <c r="K304" s="122"/>
    </row>
    <row r="305" spans="1:11" ht="15">
      <c r="A305" s="123"/>
      <c r="B305" s="122"/>
      <c r="C305" s="122"/>
      <c r="D305" s="122"/>
      <c r="E305" s="123"/>
      <c r="F305" s="122"/>
      <c r="I305" s="122"/>
      <c r="J305" s="122"/>
      <c r="K305" s="122"/>
    </row>
    <row r="306" spans="1:11" ht="15">
      <c r="A306" s="123"/>
      <c r="B306" s="122"/>
      <c r="C306" s="122"/>
      <c r="D306" s="122"/>
      <c r="E306" s="123"/>
      <c r="F306" s="122"/>
      <c r="I306" s="122"/>
      <c r="J306" s="122"/>
      <c r="K306" s="122"/>
    </row>
    <row r="307" spans="1:11" ht="15">
      <c r="A307" s="123"/>
      <c r="B307" s="122"/>
      <c r="C307" s="122"/>
      <c r="D307" s="122"/>
      <c r="E307" s="123"/>
      <c r="F307" s="122"/>
      <c r="I307" s="122"/>
      <c r="J307" s="122"/>
      <c r="K307" s="122"/>
    </row>
    <row r="308" spans="1:11" ht="15">
      <c r="A308" s="123"/>
      <c r="B308" s="122"/>
      <c r="C308" s="122"/>
      <c r="D308" s="122"/>
      <c r="E308" s="123"/>
      <c r="F308" s="122"/>
      <c r="I308" s="122"/>
      <c r="J308" s="122"/>
      <c r="K308" s="122"/>
    </row>
    <row r="309" spans="1:11" ht="15">
      <c r="A309" s="123"/>
      <c r="B309" s="122"/>
      <c r="C309" s="122"/>
      <c r="D309" s="122"/>
      <c r="E309" s="123"/>
      <c r="F309" s="122"/>
      <c r="I309" s="122"/>
      <c r="J309" s="122"/>
      <c r="K309" s="122"/>
    </row>
    <row r="310" spans="1:11" ht="15">
      <c r="A310" s="123"/>
      <c r="B310" s="122"/>
      <c r="C310" s="122"/>
      <c r="D310" s="122"/>
      <c r="E310" s="123"/>
      <c r="F310" s="122"/>
      <c r="I310" s="122"/>
      <c r="J310" s="122"/>
      <c r="K310" s="122"/>
    </row>
    <row r="311" spans="1:11" ht="15">
      <c r="A311" s="123"/>
      <c r="B311" s="122"/>
      <c r="C311" s="122"/>
      <c r="D311" s="122"/>
      <c r="E311" s="123"/>
      <c r="F311" s="122"/>
      <c r="I311" s="122"/>
      <c r="J311" s="122"/>
      <c r="K311" s="122"/>
    </row>
    <row r="312" spans="1:11" ht="15">
      <c r="A312" s="123"/>
      <c r="B312" s="122"/>
      <c r="C312" s="122"/>
      <c r="D312" s="122"/>
      <c r="E312" s="123"/>
      <c r="F312" s="122"/>
      <c r="I312" s="122"/>
      <c r="J312" s="122"/>
      <c r="K312" s="122"/>
    </row>
    <row r="313" spans="1:11" ht="15">
      <c r="A313" s="123"/>
      <c r="B313" s="122"/>
      <c r="C313" s="122"/>
      <c r="D313" s="122"/>
      <c r="E313" s="123"/>
      <c r="F313" s="122"/>
      <c r="I313" s="122"/>
      <c r="J313" s="122"/>
      <c r="K313" s="122"/>
    </row>
    <row r="314" spans="1:11" ht="15">
      <c r="A314" s="123"/>
      <c r="B314" s="122"/>
      <c r="C314" s="122"/>
      <c r="D314" s="122"/>
      <c r="E314" s="123"/>
      <c r="F314" s="122"/>
      <c r="I314" s="122"/>
      <c r="J314" s="122"/>
      <c r="K314" s="122"/>
    </row>
    <row r="315" spans="1:11" ht="15">
      <c r="A315" s="123"/>
      <c r="B315" s="122"/>
      <c r="C315" s="122"/>
      <c r="D315" s="122"/>
      <c r="E315" s="123"/>
      <c r="F315" s="122"/>
      <c r="I315" s="122"/>
      <c r="J315" s="122"/>
      <c r="K315" s="122"/>
    </row>
    <row r="316" spans="1:11" ht="15">
      <c r="A316" s="123"/>
      <c r="B316" s="122"/>
      <c r="C316" s="122"/>
      <c r="D316" s="122"/>
      <c r="E316" s="123"/>
      <c r="F316" s="122"/>
      <c r="I316" s="122"/>
      <c r="J316" s="122"/>
      <c r="K316" s="122"/>
    </row>
    <row r="317" spans="1:11" ht="15">
      <c r="A317" s="123"/>
      <c r="B317" s="122"/>
      <c r="C317" s="122"/>
      <c r="D317" s="122"/>
      <c r="E317" s="123"/>
      <c r="F317" s="122"/>
      <c r="I317" s="122"/>
      <c r="J317" s="122"/>
      <c r="K317" s="122"/>
    </row>
    <row r="318" spans="1:11" ht="15">
      <c r="A318" s="123"/>
      <c r="B318" s="122"/>
      <c r="C318" s="122"/>
      <c r="D318" s="122"/>
      <c r="E318" s="123"/>
      <c r="F318" s="122"/>
      <c r="I318" s="122"/>
      <c r="J318" s="122"/>
      <c r="K318" s="122"/>
    </row>
    <row r="319" spans="1:11" ht="15">
      <c r="A319" s="123"/>
      <c r="B319" s="122"/>
      <c r="C319" s="122"/>
      <c r="D319" s="122"/>
      <c r="E319" s="123"/>
      <c r="F319" s="122"/>
      <c r="I319" s="122"/>
      <c r="J319" s="122"/>
      <c r="K319" s="122"/>
    </row>
    <row r="320" spans="1:11" ht="15">
      <c r="A320" s="123"/>
      <c r="B320" s="122"/>
      <c r="C320" s="122"/>
      <c r="D320" s="122"/>
      <c r="E320" s="123"/>
      <c r="F320" s="122"/>
      <c r="I320" s="122"/>
      <c r="J320" s="122"/>
      <c r="K320" s="122"/>
    </row>
    <row r="321" spans="1:11" ht="15">
      <c r="A321" s="123"/>
      <c r="B321" s="122"/>
      <c r="C321" s="122"/>
      <c r="D321" s="122"/>
      <c r="E321" s="123"/>
      <c r="F321" s="122"/>
      <c r="I321" s="122"/>
      <c r="J321" s="122"/>
      <c r="K321" s="122"/>
    </row>
    <row r="322" spans="1:11" ht="15">
      <c r="A322" s="123"/>
      <c r="B322" s="122"/>
      <c r="C322" s="122"/>
      <c r="D322" s="122"/>
      <c r="E322" s="123"/>
      <c r="F322" s="122"/>
      <c r="I322" s="122"/>
      <c r="J322" s="122"/>
      <c r="K322" s="122"/>
    </row>
    <row r="323" spans="1:11" ht="15">
      <c r="A323" s="123"/>
      <c r="B323" s="122"/>
      <c r="C323" s="122"/>
      <c r="D323" s="122"/>
      <c r="E323" s="123"/>
      <c r="F323" s="122"/>
      <c r="I323" s="122"/>
      <c r="J323" s="122"/>
      <c r="K323" s="122"/>
    </row>
    <row r="324" spans="1:11" ht="15">
      <c r="A324" s="123"/>
      <c r="B324" s="122"/>
      <c r="C324" s="122"/>
      <c r="D324" s="122"/>
      <c r="E324" s="123"/>
      <c r="F324" s="122"/>
      <c r="I324" s="122"/>
      <c r="J324" s="122"/>
      <c r="K324" s="122"/>
    </row>
    <row r="325" spans="1:11" ht="15">
      <c r="A325" s="123"/>
      <c r="B325" s="122"/>
      <c r="C325" s="122"/>
      <c r="D325" s="122"/>
      <c r="E325" s="123"/>
      <c r="F325" s="122"/>
      <c r="I325" s="122"/>
      <c r="J325" s="122"/>
      <c r="K325" s="122"/>
    </row>
    <row r="326" spans="1:11" ht="15">
      <c r="A326" s="123"/>
      <c r="B326" s="122"/>
      <c r="C326" s="122"/>
      <c r="D326" s="122"/>
      <c r="E326" s="123"/>
      <c r="F326" s="122"/>
      <c r="I326" s="122"/>
      <c r="J326" s="122"/>
      <c r="K326" s="122"/>
    </row>
    <row r="327" spans="1:11" ht="15">
      <c r="A327" s="123"/>
      <c r="B327" s="122"/>
      <c r="C327" s="122"/>
      <c r="D327" s="122"/>
      <c r="E327" s="123"/>
      <c r="F327" s="122"/>
      <c r="I327" s="122"/>
      <c r="J327" s="122"/>
      <c r="K327" s="122"/>
    </row>
    <row r="328" spans="1:11" ht="15">
      <c r="A328" s="123"/>
      <c r="B328" s="122"/>
      <c r="C328" s="122"/>
      <c r="D328" s="122"/>
      <c r="E328" s="123"/>
      <c r="F328" s="122"/>
      <c r="I328" s="122"/>
      <c r="J328" s="122"/>
      <c r="K328" s="122"/>
    </row>
    <row r="329" spans="1:11" ht="15">
      <c r="A329" s="123"/>
      <c r="B329" s="122"/>
      <c r="C329" s="122"/>
      <c r="D329" s="122"/>
      <c r="E329" s="123"/>
      <c r="F329" s="122"/>
      <c r="I329" s="122"/>
      <c r="J329" s="122"/>
      <c r="K329" s="122"/>
    </row>
    <row r="330" spans="1:11" ht="15">
      <c r="A330" s="123"/>
      <c r="B330" s="122"/>
      <c r="C330" s="122"/>
      <c r="D330" s="122"/>
      <c r="E330" s="123"/>
      <c r="F330" s="122"/>
      <c r="I330" s="122"/>
      <c r="J330" s="122"/>
      <c r="K330" s="122"/>
    </row>
    <row r="331" spans="1:11" ht="15">
      <c r="A331" s="123"/>
      <c r="B331" s="122"/>
      <c r="C331" s="122"/>
      <c r="D331" s="122"/>
      <c r="E331" s="123"/>
      <c r="F331" s="122"/>
      <c r="I331" s="122"/>
      <c r="J331" s="122"/>
      <c r="K331" s="122"/>
    </row>
    <row r="332" spans="1:11" ht="15">
      <c r="A332" s="123"/>
      <c r="B332" s="122"/>
      <c r="C332" s="122"/>
      <c r="D332" s="122"/>
      <c r="E332" s="123"/>
      <c r="F332" s="122"/>
      <c r="I332" s="122"/>
      <c r="J332" s="122"/>
      <c r="K332" s="122"/>
    </row>
    <row r="333" spans="1:11" ht="15">
      <c r="A333" s="123"/>
      <c r="B333" s="122"/>
      <c r="C333" s="122"/>
      <c r="D333" s="122"/>
      <c r="E333" s="123"/>
      <c r="F333" s="122"/>
      <c r="I333" s="122"/>
      <c r="J333" s="122"/>
      <c r="K333" s="122"/>
    </row>
    <row r="334" spans="1:11" ht="15">
      <c r="A334" s="123"/>
      <c r="B334" s="122"/>
      <c r="C334" s="122"/>
      <c r="D334" s="122"/>
      <c r="E334" s="123"/>
      <c r="F334" s="122"/>
      <c r="I334" s="122"/>
      <c r="J334" s="122"/>
      <c r="K334" s="122"/>
    </row>
    <row r="335" spans="1:11" ht="15">
      <c r="A335" s="123"/>
      <c r="B335" s="122"/>
      <c r="C335" s="122"/>
      <c r="D335" s="122"/>
      <c r="E335" s="123"/>
      <c r="F335" s="122"/>
      <c r="I335" s="122"/>
      <c r="J335" s="122"/>
      <c r="K335" s="122"/>
    </row>
    <row r="336" spans="1:11" ht="15">
      <c r="A336" s="123"/>
      <c r="B336" s="122"/>
      <c r="C336" s="122"/>
      <c r="D336" s="122"/>
      <c r="E336" s="123"/>
      <c r="F336" s="122"/>
      <c r="I336" s="122"/>
      <c r="J336" s="122"/>
      <c r="K336" s="122"/>
    </row>
    <row r="337" spans="1:11" ht="15">
      <c r="A337" s="123"/>
      <c r="B337" s="122"/>
      <c r="C337" s="122"/>
      <c r="D337" s="122"/>
      <c r="E337" s="123"/>
      <c r="F337" s="122"/>
      <c r="I337" s="122"/>
      <c r="J337" s="122"/>
      <c r="K337" s="122"/>
    </row>
  </sheetData>
  <sheetProtection/>
  <mergeCells count="5">
    <mergeCell ref="A1:H1"/>
    <mergeCell ref="A2:H2"/>
    <mergeCell ref="A4:H4"/>
    <mergeCell ref="A6:H6"/>
    <mergeCell ref="A52:H52"/>
  </mergeCells>
  <printOptions/>
  <pageMargins left="0.7874015748031497" right="0.1968503937007874" top="0.15748031496062992" bottom="0.35433070866141736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 "JREK"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REJIM_Luba</dc:creator>
  <cp:keywords/>
  <dc:description/>
  <cp:lastModifiedBy>Rejim</cp:lastModifiedBy>
  <cp:lastPrinted>2022-07-14T05:44:07Z</cp:lastPrinted>
  <dcterms:created xsi:type="dcterms:W3CDTF">1998-01-23T09:32:06Z</dcterms:created>
  <dcterms:modified xsi:type="dcterms:W3CDTF">2022-08-12T08:31:37Z</dcterms:modified>
  <cp:category/>
  <cp:version/>
  <cp:contentType/>
  <cp:contentStatus/>
</cp:coreProperties>
</file>