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7950" activeTab="5"/>
  </bookViews>
  <sheets>
    <sheet name="март" sheetId="1" r:id="rId1"/>
    <sheet name="апрель" sheetId="4" r:id="rId2"/>
    <sheet name="май" sheetId="6" r:id="rId3"/>
    <sheet name="июнь" sheetId="5" r:id="rId4"/>
    <sheet name="июль" sheetId="7" r:id="rId5"/>
    <sheet name="август" sheetId="8" r:id="rId6"/>
  </sheets>
  <calcPr calcId="145621"/>
</workbook>
</file>

<file path=xl/calcChain.xml><?xml version="1.0" encoding="utf-8"?>
<calcChain xmlns="http://schemas.openxmlformats.org/spreadsheetml/2006/main">
  <c r="G49" i="8" l="1"/>
  <c r="G46" i="8"/>
  <c r="G44" i="8"/>
  <c r="G43" i="8"/>
  <c r="G42" i="8"/>
  <c r="G41" i="8"/>
  <c r="G39" i="8"/>
  <c r="G37" i="8"/>
  <c r="G34" i="8"/>
  <c r="G33" i="8"/>
  <c r="G32" i="8"/>
  <c r="G31" i="8"/>
  <c r="G30" i="8"/>
  <c r="G29" i="8"/>
  <c r="G28" i="8"/>
  <c r="G26" i="8"/>
  <c r="G25" i="8"/>
  <c r="H24" i="8"/>
  <c r="G24" i="8"/>
  <c r="H21" i="8"/>
  <c r="G23" i="8"/>
  <c r="G22" i="8"/>
  <c r="G21" i="8"/>
  <c r="G20" i="8"/>
  <c r="G19" i="8"/>
  <c r="G18" i="8"/>
  <c r="G17" i="8"/>
  <c r="G16" i="8"/>
  <c r="G15" i="8"/>
  <c r="G14" i="8"/>
  <c r="G13" i="8"/>
  <c r="G12" i="8"/>
  <c r="G108" i="8"/>
  <c r="G107" i="8"/>
  <c r="G105" i="8"/>
  <c r="G104" i="8"/>
  <c r="G103" i="8"/>
  <c r="G101" i="8"/>
  <c r="G99" i="8"/>
  <c r="G97" i="8"/>
  <c r="G94" i="8" l="1"/>
  <c r="G92" i="8"/>
  <c r="G90" i="8"/>
  <c r="G89" i="8"/>
  <c r="G87" i="8"/>
  <c r="G86" i="8"/>
  <c r="G85" i="8"/>
  <c r="G79" i="8"/>
  <c r="H77" i="8"/>
  <c r="G77" i="8"/>
  <c r="G76" i="8"/>
  <c r="G75" i="8"/>
  <c r="G73" i="8"/>
  <c r="G72" i="8"/>
  <c r="H69" i="8"/>
  <c r="G69" i="8"/>
  <c r="G70" i="8"/>
  <c r="G68" i="8"/>
  <c r="G65" i="8"/>
  <c r="G66" i="8"/>
  <c r="G64" i="8"/>
  <c r="G63" i="8"/>
  <c r="G61" i="8"/>
  <c r="G60" i="8"/>
  <c r="G59" i="8"/>
  <c r="G58" i="8"/>
  <c r="G57" i="8"/>
  <c r="G56" i="8"/>
  <c r="H108" i="8" l="1"/>
  <c r="F108" i="8"/>
  <c r="F107" i="8"/>
  <c r="H107" i="8" s="1"/>
  <c r="F105" i="8"/>
  <c r="H105" i="8" s="1"/>
  <c r="F104" i="8"/>
  <c r="H104" i="8" s="1"/>
  <c r="H103" i="8"/>
  <c r="F103" i="8"/>
  <c r="F101" i="8"/>
  <c r="H101" i="8" s="1"/>
  <c r="F99" i="8"/>
  <c r="H99" i="8" s="1"/>
  <c r="H97" i="8"/>
  <c r="F97" i="8"/>
  <c r="H96" i="8"/>
  <c r="G96" i="8"/>
  <c r="F96" i="8"/>
  <c r="F94" i="8"/>
  <c r="H94" i="8" s="1"/>
  <c r="F92" i="8"/>
  <c r="H92" i="8" s="1"/>
  <c r="F90" i="8"/>
  <c r="F89" i="8"/>
  <c r="H89" i="8" s="1"/>
  <c r="F87" i="8"/>
  <c r="H87" i="8" s="1"/>
  <c r="F86" i="8"/>
  <c r="H86" i="8" s="1"/>
  <c r="H85" i="8"/>
  <c r="F85" i="8"/>
  <c r="F83" i="8"/>
  <c r="F81" i="8"/>
  <c r="F79" i="8"/>
  <c r="H79" i="8" s="1"/>
  <c r="F78" i="8"/>
  <c r="F77" i="8"/>
  <c r="F76" i="8"/>
  <c r="H76" i="8" s="1"/>
  <c r="F75" i="8"/>
  <c r="H75" i="8" s="1"/>
  <c r="H73" i="8"/>
  <c r="F73" i="8"/>
  <c r="H72" i="8"/>
  <c r="F72" i="8"/>
  <c r="F70" i="8"/>
  <c r="H70" i="8" s="1"/>
  <c r="F69" i="8"/>
  <c r="F68" i="8"/>
  <c r="H68" i="8" s="1"/>
  <c r="F66" i="8"/>
  <c r="H66" i="8" s="1"/>
  <c r="F65" i="8"/>
  <c r="H65" i="8" s="1"/>
  <c r="F64" i="8"/>
  <c r="H64" i="8" s="1"/>
  <c r="F63" i="8"/>
  <c r="H63" i="8" s="1"/>
  <c r="F62" i="8"/>
  <c r="H61" i="8"/>
  <c r="F61" i="8"/>
  <c r="F60" i="8"/>
  <c r="H60" i="8" s="1"/>
  <c r="H59" i="8"/>
  <c r="F59" i="8"/>
  <c r="H58" i="8"/>
  <c r="F58" i="8"/>
  <c r="F57" i="8"/>
  <c r="H57" i="8" s="1"/>
  <c r="F56" i="8"/>
  <c r="H56" i="8" s="1"/>
  <c r="H49" i="8"/>
  <c r="H46" i="8"/>
  <c r="H44" i="8"/>
  <c r="H43" i="8"/>
  <c r="H42" i="8"/>
  <c r="H41" i="8"/>
  <c r="H39" i="8"/>
  <c r="H37" i="8"/>
  <c r="H34" i="8"/>
  <c r="H33" i="8"/>
  <c r="H32" i="8"/>
  <c r="H31" i="8"/>
  <c r="H30" i="8"/>
  <c r="H29" i="8"/>
  <c r="H28" i="8"/>
  <c r="H26" i="8"/>
  <c r="H25" i="8"/>
  <c r="H23" i="8"/>
  <c r="H22" i="8"/>
  <c r="H20" i="8"/>
  <c r="H19" i="8"/>
  <c r="H18" i="8"/>
  <c r="H17" i="8"/>
  <c r="H16" i="8"/>
  <c r="H15" i="8"/>
  <c r="H14" i="8"/>
  <c r="H13" i="8"/>
  <c r="H12" i="8"/>
  <c r="H11" i="8"/>
  <c r="G49" i="7" l="1"/>
  <c r="G47" i="7"/>
  <c r="H46" i="7"/>
  <c r="G46" i="7"/>
  <c r="G44" i="7"/>
  <c r="G43" i="7"/>
  <c r="G42" i="7"/>
  <c r="G41" i="7"/>
  <c r="G39" i="7"/>
  <c r="G37" i="7"/>
  <c r="G34" i="7"/>
  <c r="H33" i="7"/>
  <c r="G33" i="7"/>
  <c r="G32" i="7"/>
  <c r="G31" i="7"/>
  <c r="G29" i="7"/>
  <c r="G28" i="7"/>
  <c r="G26" i="7"/>
  <c r="G25" i="7"/>
  <c r="G23" i="7"/>
  <c r="G22" i="7"/>
  <c r="G20" i="7"/>
  <c r="G19" i="7"/>
  <c r="G18" i="7"/>
  <c r="G17" i="7"/>
  <c r="G16" i="7"/>
  <c r="G15" i="7"/>
  <c r="G14" i="7"/>
  <c r="G13" i="7"/>
  <c r="G12" i="7"/>
  <c r="G11" i="7"/>
  <c r="G108" i="7" l="1"/>
  <c r="G107" i="7"/>
  <c r="G105" i="7"/>
  <c r="G104" i="7"/>
  <c r="G103" i="7"/>
  <c r="G101" i="7"/>
  <c r="G99" i="7"/>
  <c r="G97" i="7"/>
  <c r="G96" i="7"/>
  <c r="G94" i="7"/>
  <c r="G92" i="7"/>
  <c r="G90" i="7"/>
  <c r="G89" i="7"/>
  <c r="G87" i="7"/>
  <c r="G86" i="7"/>
  <c r="G85" i="7"/>
  <c r="G79" i="7"/>
  <c r="G76" i="7"/>
  <c r="G75" i="7"/>
  <c r="G73" i="7"/>
  <c r="G72" i="7"/>
  <c r="G70" i="7"/>
  <c r="G68" i="7"/>
  <c r="G66" i="7"/>
  <c r="G64" i="7"/>
  <c r="G63" i="7"/>
  <c r="G62" i="7"/>
  <c r="G61" i="7" l="1"/>
  <c r="H61" i="7"/>
  <c r="G60" i="7"/>
  <c r="G59" i="7"/>
  <c r="H59" i="7" s="1"/>
  <c r="G58" i="7"/>
  <c r="H58" i="7"/>
  <c r="G57" i="7"/>
  <c r="H108" i="7"/>
  <c r="F108" i="7"/>
  <c r="H107" i="7"/>
  <c r="F107" i="7"/>
  <c r="H105" i="7"/>
  <c r="F105" i="7"/>
  <c r="F104" i="7"/>
  <c r="H104" i="7" s="1"/>
  <c r="H103" i="7"/>
  <c r="F103" i="7"/>
  <c r="H101" i="7"/>
  <c r="F101" i="7"/>
  <c r="H99" i="7"/>
  <c r="F99" i="7"/>
  <c r="F97" i="7"/>
  <c r="H97" i="7" s="1"/>
  <c r="H96" i="7"/>
  <c r="F96" i="7"/>
  <c r="H94" i="7"/>
  <c r="F94" i="7"/>
  <c r="H92" i="7"/>
  <c r="F92" i="7"/>
  <c r="F90" i="7"/>
  <c r="H89" i="7"/>
  <c r="F89" i="7"/>
  <c r="F87" i="7"/>
  <c r="H87" i="7" s="1"/>
  <c r="F86" i="7"/>
  <c r="H86" i="7" s="1"/>
  <c r="F85" i="7"/>
  <c r="H85" i="7" s="1"/>
  <c r="F83" i="7"/>
  <c r="F81" i="7"/>
  <c r="F79" i="7"/>
  <c r="H79" i="7" s="1"/>
  <c r="F78" i="7"/>
  <c r="F77" i="7"/>
  <c r="F76" i="7"/>
  <c r="H76" i="7" s="1"/>
  <c r="H75" i="7"/>
  <c r="F75" i="7"/>
  <c r="F73" i="7"/>
  <c r="H73" i="7" s="1"/>
  <c r="F72" i="7"/>
  <c r="H72" i="7" s="1"/>
  <c r="F70" i="7"/>
  <c r="H70" i="7" s="1"/>
  <c r="F69" i="7"/>
  <c r="H68" i="7"/>
  <c r="F68" i="7"/>
  <c r="H66" i="7"/>
  <c r="F66" i="7"/>
  <c r="H65" i="7"/>
  <c r="F65" i="7"/>
  <c r="F64" i="7"/>
  <c r="H64" i="7" s="1"/>
  <c r="H63" i="7"/>
  <c r="F63" i="7"/>
  <c r="H62" i="7"/>
  <c r="F62" i="7"/>
  <c r="F61" i="7"/>
  <c r="F60" i="7"/>
  <c r="F59" i="7"/>
  <c r="F58" i="7"/>
  <c r="H57" i="7"/>
  <c r="F57" i="7"/>
  <c r="F56" i="7"/>
  <c r="H56" i="7" s="1"/>
  <c r="H49" i="7"/>
  <c r="H47" i="7"/>
  <c r="H44" i="7"/>
  <c r="H43" i="7"/>
  <c r="H42" i="7"/>
  <c r="H41" i="7"/>
  <c r="H39" i="7"/>
  <c r="H37" i="7"/>
  <c r="H34" i="7"/>
  <c r="H32" i="7"/>
  <c r="H31" i="7"/>
  <c r="H30" i="7"/>
  <c r="H29" i="7"/>
  <c r="H28" i="7"/>
  <c r="H27" i="7"/>
  <c r="H26" i="7"/>
  <c r="H25" i="7"/>
  <c r="H23" i="7"/>
  <c r="H22" i="7"/>
  <c r="H20" i="7"/>
  <c r="H19" i="7"/>
  <c r="H18" i="7"/>
  <c r="H17" i="7"/>
  <c r="H16" i="7"/>
  <c r="H15" i="7"/>
  <c r="H14" i="7"/>
  <c r="H13" i="7"/>
  <c r="H12" i="7"/>
  <c r="H11" i="7"/>
  <c r="H60" i="7" l="1"/>
  <c r="H108" i="6"/>
  <c r="F108" i="6"/>
  <c r="H107" i="6"/>
  <c r="F107" i="6"/>
  <c r="H105" i="6"/>
  <c r="F105" i="6"/>
  <c r="H104" i="6"/>
  <c r="F104" i="6"/>
  <c r="H103" i="6"/>
  <c r="F103" i="6"/>
  <c r="H101" i="6"/>
  <c r="F101" i="6"/>
  <c r="H99" i="6"/>
  <c r="F99" i="6"/>
  <c r="H97" i="6"/>
  <c r="F97" i="6"/>
  <c r="H96" i="6"/>
  <c r="F96" i="6"/>
  <c r="H94" i="6"/>
  <c r="F94" i="6"/>
  <c r="H92" i="6"/>
  <c r="F92" i="6"/>
  <c r="F90" i="6"/>
  <c r="F89" i="6"/>
  <c r="H89" i="6" s="1"/>
  <c r="F87" i="6"/>
  <c r="H87" i="6" s="1"/>
  <c r="F86" i="6"/>
  <c r="H86" i="6" s="1"/>
  <c r="F85" i="6"/>
  <c r="H85" i="6" s="1"/>
  <c r="F83" i="6"/>
  <c r="F81" i="6"/>
  <c r="F79" i="6"/>
  <c r="H79" i="6" s="1"/>
  <c r="F78" i="6"/>
  <c r="F77" i="6"/>
  <c r="F76" i="6"/>
  <c r="H76" i="6" s="1"/>
  <c r="F75" i="6"/>
  <c r="H75" i="6" s="1"/>
  <c r="F73" i="6"/>
  <c r="H73" i="6" s="1"/>
  <c r="F72" i="6"/>
  <c r="H72" i="6" s="1"/>
  <c r="F70" i="6"/>
  <c r="H70" i="6" s="1"/>
  <c r="F69" i="6"/>
  <c r="H68" i="6"/>
  <c r="F68" i="6"/>
  <c r="H66" i="6"/>
  <c r="F66" i="6"/>
  <c r="F65" i="6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H49" i="6"/>
  <c r="H47" i="6"/>
  <c r="H46" i="6"/>
  <c r="H44" i="6"/>
  <c r="H43" i="6"/>
  <c r="H42" i="6"/>
  <c r="H41" i="6"/>
  <c r="H39" i="6"/>
  <c r="H37" i="6"/>
  <c r="H34" i="6"/>
  <c r="H32" i="6"/>
  <c r="H30" i="6"/>
  <c r="H29" i="6"/>
  <c r="H28" i="6"/>
  <c r="H27" i="6"/>
  <c r="H26" i="6"/>
  <c r="H25" i="6"/>
  <c r="H23" i="6"/>
  <c r="H22" i="6"/>
  <c r="H21" i="6"/>
  <c r="H20" i="6"/>
  <c r="H19" i="6"/>
  <c r="H17" i="6"/>
  <c r="H16" i="6"/>
  <c r="H15" i="6"/>
  <c r="H14" i="6"/>
  <c r="H13" i="6"/>
  <c r="H12" i="6"/>
  <c r="H11" i="6"/>
  <c r="H65" i="5" l="1"/>
  <c r="H31" i="5" l="1"/>
  <c r="H18" i="5"/>
  <c r="H11" i="5"/>
  <c r="H47" i="5" l="1"/>
  <c r="H27" i="5"/>
  <c r="H17" i="5"/>
  <c r="F108" i="5"/>
  <c r="H108" i="5" s="1"/>
  <c r="F107" i="5"/>
  <c r="H107" i="5" s="1"/>
  <c r="F105" i="5"/>
  <c r="H105" i="5" s="1"/>
  <c r="F104" i="5"/>
  <c r="H104" i="5" s="1"/>
  <c r="F103" i="5"/>
  <c r="H103" i="5" s="1"/>
  <c r="F101" i="5"/>
  <c r="H101" i="5" s="1"/>
  <c r="F99" i="5"/>
  <c r="H99" i="5" s="1"/>
  <c r="F97" i="5"/>
  <c r="H97" i="5" s="1"/>
  <c r="F96" i="5"/>
  <c r="H96" i="5" s="1"/>
  <c r="F94" i="5"/>
  <c r="H94" i="5" s="1"/>
  <c r="F92" i="5"/>
  <c r="H92" i="5" s="1"/>
  <c r="F90" i="5"/>
  <c r="H89" i="5"/>
  <c r="F89" i="5"/>
  <c r="H87" i="5"/>
  <c r="F87" i="5"/>
  <c r="H86" i="5"/>
  <c r="F86" i="5"/>
  <c r="H85" i="5"/>
  <c r="F85" i="5"/>
  <c r="F83" i="5"/>
  <c r="F81" i="5"/>
  <c r="H79" i="5"/>
  <c r="F79" i="5"/>
  <c r="F78" i="5"/>
  <c r="F77" i="5"/>
  <c r="H76" i="5"/>
  <c r="F76" i="5"/>
  <c r="H75" i="5"/>
  <c r="F75" i="5"/>
  <c r="H73" i="5"/>
  <c r="F73" i="5"/>
  <c r="H72" i="5"/>
  <c r="F72" i="5"/>
  <c r="H70" i="5"/>
  <c r="F70" i="5"/>
  <c r="F69" i="5"/>
  <c r="F68" i="5"/>
  <c r="H68" i="5" s="1"/>
  <c r="F66" i="5"/>
  <c r="H66" i="5" s="1"/>
  <c r="F65" i="5"/>
  <c r="F64" i="5"/>
  <c r="H64" i="5" s="1"/>
  <c r="F63" i="5"/>
  <c r="H63" i="5" s="1"/>
  <c r="F62" i="5"/>
  <c r="H62" i="5" s="1"/>
  <c r="F61" i="5"/>
  <c r="H61" i="5" s="1"/>
  <c r="F60" i="5"/>
  <c r="H60" i="5" s="1"/>
  <c r="F59" i="5"/>
  <c r="H59" i="5" s="1"/>
  <c r="F58" i="5"/>
  <c r="H58" i="5" s="1"/>
  <c r="F57" i="5"/>
  <c r="H57" i="5" s="1"/>
  <c r="F56" i="5"/>
  <c r="H56" i="5" s="1"/>
  <c r="H49" i="5"/>
  <c r="H44" i="5"/>
  <c r="H43" i="5"/>
  <c r="H42" i="5"/>
  <c r="H41" i="5"/>
  <c r="H39" i="5"/>
  <c r="H37" i="5"/>
  <c r="H34" i="5"/>
  <c r="H32" i="5"/>
  <c r="H30" i="5"/>
  <c r="H29" i="5"/>
  <c r="H28" i="5"/>
  <c r="H26" i="5"/>
  <c r="H25" i="5"/>
  <c r="H23" i="5"/>
  <c r="H22" i="5"/>
  <c r="H20" i="5"/>
  <c r="H19" i="5"/>
  <c r="H16" i="5"/>
  <c r="H15" i="5"/>
  <c r="H14" i="5"/>
  <c r="H13" i="5"/>
  <c r="H12" i="5"/>
  <c r="H32" i="4" l="1"/>
  <c r="F108" i="4"/>
  <c r="H108" i="4" s="1"/>
  <c r="F107" i="4"/>
  <c r="H107" i="4" s="1"/>
  <c r="F105" i="4"/>
  <c r="H105" i="4" s="1"/>
  <c r="F104" i="4"/>
  <c r="H104" i="4" s="1"/>
  <c r="F103" i="4"/>
  <c r="H103" i="4" s="1"/>
  <c r="F101" i="4"/>
  <c r="H101" i="4" s="1"/>
  <c r="F99" i="4"/>
  <c r="H99" i="4" s="1"/>
  <c r="F97" i="4"/>
  <c r="H97" i="4" s="1"/>
  <c r="F96" i="4"/>
  <c r="H96" i="4" s="1"/>
  <c r="F94" i="4"/>
  <c r="H94" i="4" s="1"/>
  <c r="F92" i="4"/>
  <c r="H92" i="4" s="1"/>
  <c r="F90" i="4"/>
  <c r="F89" i="4"/>
  <c r="H89" i="4" s="1"/>
  <c r="F87" i="4"/>
  <c r="H87" i="4" s="1"/>
  <c r="F86" i="4"/>
  <c r="H86" i="4" s="1"/>
  <c r="F85" i="4"/>
  <c r="H85" i="4" s="1"/>
  <c r="F83" i="4"/>
  <c r="F81" i="4"/>
  <c r="F79" i="4"/>
  <c r="H79" i="4" s="1"/>
  <c r="F78" i="4"/>
  <c r="F77" i="4"/>
  <c r="F76" i="4"/>
  <c r="H76" i="4" s="1"/>
  <c r="F75" i="4"/>
  <c r="H75" i="4" s="1"/>
  <c r="F73" i="4"/>
  <c r="H73" i="4" s="1"/>
  <c r="F72" i="4"/>
  <c r="H72" i="4" s="1"/>
  <c r="F70" i="4"/>
  <c r="H70" i="4" s="1"/>
  <c r="F69" i="4"/>
  <c r="H68" i="4"/>
  <c r="F68" i="4"/>
  <c r="H66" i="4"/>
  <c r="F66" i="4"/>
  <c r="H65" i="4"/>
  <c r="F65" i="4"/>
  <c r="H64" i="4"/>
  <c r="F64" i="4"/>
  <c r="H63" i="4"/>
  <c r="F63" i="4"/>
  <c r="H62" i="4"/>
  <c r="F62" i="4"/>
  <c r="H61" i="4"/>
  <c r="F61" i="4"/>
  <c r="H60" i="4"/>
  <c r="F60" i="4"/>
  <c r="H59" i="4"/>
  <c r="F59" i="4"/>
  <c r="H58" i="4"/>
  <c r="F58" i="4"/>
  <c r="H57" i="4"/>
  <c r="F57" i="4"/>
  <c r="H56" i="4"/>
  <c r="F56" i="4"/>
  <c r="H49" i="4"/>
  <c r="H46" i="4"/>
  <c r="H44" i="4"/>
  <c r="H43" i="4"/>
  <c r="H42" i="4"/>
  <c r="H41" i="4"/>
  <c r="H39" i="4"/>
  <c r="H37" i="4"/>
  <c r="H34" i="4"/>
  <c r="H33" i="4"/>
  <c r="H31" i="4"/>
  <c r="H30" i="4"/>
  <c r="H29" i="4"/>
  <c r="H28" i="4"/>
  <c r="H26" i="4"/>
  <c r="H25" i="4"/>
  <c r="H23" i="4"/>
  <c r="H22" i="4"/>
  <c r="H20" i="4"/>
  <c r="H19" i="4"/>
  <c r="H16" i="4"/>
  <c r="H15" i="4"/>
  <c r="H14" i="4"/>
  <c r="H13" i="4"/>
  <c r="H12" i="4"/>
  <c r="H11" i="4"/>
  <c r="H57" i="1" l="1"/>
  <c r="H58" i="1"/>
  <c r="H59" i="1"/>
  <c r="H60" i="1"/>
  <c r="H61" i="1"/>
  <c r="H62" i="1"/>
  <c r="H63" i="1"/>
  <c r="H64" i="1"/>
  <c r="H65" i="1"/>
  <c r="H66" i="1"/>
  <c r="H68" i="1"/>
  <c r="H70" i="1"/>
  <c r="H72" i="1"/>
  <c r="H73" i="1"/>
  <c r="H75" i="1"/>
  <c r="H76" i="1"/>
  <c r="H79" i="1"/>
  <c r="H85" i="1"/>
  <c r="H86" i="1"/>
  <c r="H87" i="1"/>
  <c r="H89" i="1"/>
  <c r="H90" i="1"/>
  <c r="H92" i="1"/>
  <c r="H94" i="1"/>
  <c r="H96" i="1"/>
  <c r="H97" i="1"/>
  <c r="H99" i="1"/>
  <c r="H101" i="1"/>
  <c r="H103" i="1"/>
  <c r="H104" i="1"/>
  <c r="H105" i="1"/>
  <c r="H107" i="1"/>
  <c r="H108" i="1"/>
  <c r="H56" i="1"/>
  <c r="H12" i="1"/>
  <c r="H13" i="1"/>
  <c r="H14" i="1"/>
  <c r="H15" i="1"/>
  <c r="H16" i="1"/>
  <c r="H19" i="1"/>
  <c r="H20" i="1"/>
  <c r="H22" i="1"/>
  <c r="H23" i="1"/>
  <c r="H25" i="1"/>
  <c r="H26" i="1"/>
  <c r="H28" i="1"/>
  <c r="H29" i="1"/>
  <c r="H30" i="1"/>
  <c r="H31" i="1"/>
  <c r="H33" i="1"/>
  <c r="H34" i="1"/>
  <c r="H37" i="1"/>
  <c r="H39" i="1"/>
  <c r="H41" i="1"/>
  <c r="H42" i="1"/>
  <c r="H43" i="1"/>
  <c r="H44" i="1"/>
  <c r="H46" i="1"/>
  <c r="H49" i="1"/>
  <c r="H11" i="1"/>
  <c r="F108" i="1"/>
  <c r="F107" i="1"/>
  <c r="F105" i="1"/>
  <c r="F104" i="1"/>
  <c r="F103" i="1"/>
  <c r="F101" i="1"/>
  <c r="F99" i="1"/>
  <c r="F97" i="1"/>
  <c r="F96" i="1"/>
  <c r="F94" i="1"/>
  <c r="F92" i="1"/>
  <c r="F90" i="1"/>
  <c r="F89" i="1"/>
  <c r="F87" i="1"/>
  <c r="F86" i="1"/>
  <c r="F85" i="1"/>
  <c r="F83" i="1"/>
  <c r="F81" i="1"/>
  <c r="F79" i="1"/>
  <c r="F78" i="1"/>
  <c r="F77" i="1"/>
  <c r="F76" i="1"/>
  <c r="F75" i="1"/>
  <c r="F73" i="1"/>
  <c r="F72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</calcChain>
</file>

<file path=xl/comments1.xml><?xml version="1.0" encoding="utf-8"?>
<comments xmlns="http://schemas.openxmlformats.org/spreadsheetml/2006/main">
  <authors>
    <author>Режим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</commentList>
</comments>
</file>

<file path=xl/comments2.xml><?xml version="1.0" encoding="utf-8"?>
<comments xmlns="http://schemas.openxmlformats.org/spreadsheetml/2006/main">
  <authors>
    <author>Режим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3.xml><?xml version="1.0" encoding="utf-8"?>
<comments xmlns="http://schemas.openxmlformats.org/spreadsheetml/2006/main">
  <authors>
    <author>Режим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4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G11" authorId="1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5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6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sharedStrings.xml><?xml version="1.0" encoding="utf-8"?>
<sst xmlns="http://schemas.openxmlformats.org/spreadsheetml/2006/main" count="1428" uniqueCount="130">
  <si>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</si>
  <si>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</si>
  <si>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</si>
  <si>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</si>
  <si>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</si>
  <si>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</si>
  <si>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</si>
  <si>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</si>
  <si>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</si>
  <si>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</si>
  <si>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</si>
  <si>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</si>
  <si>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</si>
  <si>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>Т - 2</t>
  </si>
  <si>
    <t>Т - 3</t>
  </si>
  <si>
    <t>ПС  1 - 110</t>
  </si>
  <si>
    <t>ПС  2 - 110</t>
  </si>
  <si>
    <t>ПС  3 - 110</t>
  </si>
  <si>
    <t>ПС  4 - 110</t>
  </si>
  <si>
    <t>ПС  5 - 110</t>
  </si>
  <si>
    <t>ПС  6 - 110</t>
  </si>
  <si>
    <t>ПС  7 - 110</t>
  </si>
  <si>
    <t>ПС  9 - 110</t>
  </si>
  <si>
    <t>ПС  10 - 110</t>
  </si>
  <si>
    <t>ПС  11 - 110</t>
  </si>
  <si>
    <t>ПС  13 - 110</t>
  </si>
  <si>
    <t>ПС  16 - 110</t>
  </si>
  <si>
    <t>ПС  17 - 110</t>
  </si>
  <si>
    <t>ПС  18 - 110</t>
  </si>
  <si>
    <t>ПС  БЕСКЕМПИР</t>
  </si>
  <si>
    <t>ПС  2 - 35</t>
  </si>
  <si>
    <t>ПС  9 - 35</t>
  </si>
  <si>
    <t>ПС  15 - 35</t>
  </si>
  <si>
    <t>ПС  17 - 35</t>
  </si>
  <si>
    <t>ПС  20 - 35</t>
  </si>
  <si>
    <t>ПС  21 - 35</t>
  </si>
  <si>
    <t>ПС  24 - 35</t>
  </si>
  <si>
    <t>ПС  25 - 35</t>
  </si>
  <si>
    <t>ПС  51 - 35</t>
  </si>
  <si>
    <t>ПС  МЫН - АРАЛ</t>
  </si>
  <si>
    <t>220/35/6</t>
  </si>
  <si>
    <t>35/6</t>
  </si>
  <si>
    <t>110/10</t>
  </si>
  <si>
    <t>110/35/10</t>
  </si>
  <si>
    <t>110/35/11</t>
  </si>
  <si>
    <t>35/10</t>
  </si>
  <si>
    <t>10/0,23</t>
  </si>
  <si>
    <t>10/6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</si>
  <si>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</si>
  <si>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</si>
  <si>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</si>
  <si>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</si>
  <si>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</si>
  <si>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</si>
  <si>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</si>
  <si>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</si>
  <si>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</si>
  <si>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</si>
  <si>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Л-107</t>
  </si>
  <si>
    <t>Л-110</t>
  </si>
  <si>
    <t>Л-111</t>
  </si>
  <si>
    <t>Л-117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</si>
  <si>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</si>
  <si>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</si>
  <si>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</si>
  <si>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</si>
  <si>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</si>
  <si>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</si>
  <si>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</si>
  <si>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</si>
  <si>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</si>
  <si>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</si>
  <si>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</si>
  <si>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</si>
  <si>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</si>
  <si>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</si>
  <si>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</si>
  <si>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</si>
  <si>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</si>
  <si>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</si>
  <si>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</si>
  <si>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</si>
  <si>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</si>
  <si>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</si>
  <si>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</si>
  <si>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</si>
  <si>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</si>
  <si>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</si>
  <si>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</si>
  <si>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</si>
  <si>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</si>
  <si>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</si>
  <si>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</si>
  <si>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</si>
  <si>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</si>
  <si>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</si>
  <si>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</si>
  <si>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</si>
  <si>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</si>
  <si>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</si>
  <si>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</si>
  <si>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</si>
  <si>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</si>
  <si>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</si>
  <si>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</si>
  <si>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Л-118</t>
  </si>
  <si>
    <t>РЕЗЕРВ</t>
  </si>
  <si>
    <t>искл. из схемы</t>
  </si>
  <si>
    <t>70, 120</t>
  </si>
  <si>
    <t>150 , 70</t>
  </si>
  <si>
    <t xml:space="preserve">Шетский район  </t>
  </si>
  <si>
    <t>город Приозерск</t>
  </si>
  <si>
    <t>Балхаш 9</t>
  </si>
  <si>
    <t>Поселок Жамши</t>
  </si>
  <si>
    <t>Поселок Актогай</t>
  </si>
  <si>
    <t>Поселок Орта-Дересин</t>
  </si>
  <si>
    <t>Поселок Акжартас</t>
  </si>
  <si>
    <t>Город Балхаш</t>
  </si>
  <si>
    <t>Поселок Озерный Актогайск.район</t>
  </si>
  <si>
    <t>Поселок Шетск</t>
  </si>
  <si>
    <t>Поселок Гульшад</t>
  </si>
  <si>
    <t>Поселок Чубар-Тюбек</t>
  </si>
  <si>
    <t>Поселок Торангылык</t>
  </si>
  <si>
    <t>Поселок Тасарал</t>
  </si>
  <si>
    <t>Поселок Алгазы</t>
  </si>
  <si>
    <t>Джамбульская обл.</t>
  </si>
  <si>
    <t>Актогайский район</t>
  </si>
  <si>
    <t>Джамбульская обл.Маинкумский район</t>
  </si>
  <si>
    <t>Загрузка, март МВт</t>
  </si>
  <si>
    <t>Загрузка, март,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</si>
</sst>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.000_р_._-;\-* #,##0.000_р_._-;_-* &quot;-&quot;??_р_._-;_-@_-"/>
    <numFmt numFmtId="167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2" fillId="2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3" fillId="0" borderId="5" xfId="1" applyFont="1" applyBorder="1"/>
    <xf numFmtId="43" fontId="3" fillId="0" borderId="6" xfId="1" applyFont="1" applyBorder="1"/>
    <xf numFmtId="43" fontId="3" fillId="0" borderId="7" xfId="1" applyFont="1" applyBorder="1"/>
    <xf numFmtId="43" fontId="3" fillId="0" borderId="2" xfId="1" applyFont="1" applyBorder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/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7" fillId="2" borderId="2" xfId="0" applyFont="1" applyFill="1" applyBorder="1" applyAlignment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6" fontId="2" fillId="2" borderId="5" xfId="2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6" fontId="2" fillId="2" borderId="6" xfId="2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6" fontId="2" fillId="2" borderId="7" xfId="2" applyNumberFormat="1" applyFont="1" applyFill="1" applyBorder="1"/>
    <xf numFmtId="166" fontId="7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166" fontId="2" fillId="2" borderId="2" xfId="2" applyNumberFormat="1" applyFont="1" applyFill="1" applyBorder="1"/>
    <xf numFmtId="166" fontId="2" fillId="2" borderId="6" xfId="2" applyNumberFormat="1" applyFont="1" applyFill="1" applyBorder="1" applyAlignment="1">
      <alignment horizontal="right"/>
    </xf>
    <xf numFmtId="166" fontId="2" fillId="2" borderId="2" xfId="2" applyNumberFormat="1" applyFont="1" applyFill="1" applyBorder="1" applyAlignment="1">
      <alignment horizontal="right"/>
    </xf>
    <xf numFmtId="165" fontId="3" fillId="0" borderId="7" xfId="1" applyNumberFormat="1" applyFont="1" applyFill="1" applyBorder="1"/>
    <xf numFmtId="43" fontId="2" fillId="0" borderId="5" xfId="1" applyFont="1" applyFill="1" applyBorder="1"/>
    <xf numFmtId="43" fontId="2" fillId="0" borderId="6" xfId="1" applyFont="1" applyFill="1" applyBorder="1"/>
    <xf numFmtId="43" fontId="2" fillId="0" borderId="6" xfId="1" applyFont="1" applyFill="1" applyBorder="1" applyAlignment="1">
      <alignment horizontal="left"/>
    </xf>
    <xf numFmtId="43" fontId="2" fillId="0" borderId="7" xfId="1" applyFont="1" applyFill="1" applyBorder="1"/>
    <xf numFmtId="43" fontId="2" fillId="0" borderId="2" xfId="1" applyFont="1" applyFill="1" applyBorder="1"/>
    <xf numFmtId="43" fontId="2" fillId="0" borderId="5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43" fontId="2" fillId="0" borderId="7" xfId="1" applyFont="1" applyFill="1" applyBorder="1" applyAlignment="1">
      <alignment horizontal="left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3" fillId="0" borderId="7" xfId="1" applyNumberFormat="1" applyFont="1" applyBorder="1"/>
    <xf numFmtId="167" fontId="3" fillId="0" borderId="2" xfId="1" applyNumberFormat="1" applyFont="1" applyBorder="1"/>
    <xf numFmtId="167" fontId="3" fillId="0" borderId="5" xfId="1" applyNumberFormat="1" applyFont="1" applyBorder="1"/>
    <xf numFmtId="167" fontId="3" fillId="0" borderId="6" xfId="1" applyNumberFormat="1" applyFont="1" applyBorder="1"/>
    <xf numFmtId="0" fontId="2" fillId="0" borderId="3" xfId="0" applyFont="1" applyFill="1" applyBorder="1" applyAlignment="1">
      <alignment horizontal="center"/>
    </xf>
    <xf numFmtId="165" fontId="3" fillId="0" borderId="2" xfId="1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6" fontId="2" fillId="2" borderId="7" xfId="2" applyNumberFormat="1" applyFont="1" applyFill="1" applyBorder="1" applyAlignment="1">
      <alignment horizontal="right"/>
    </xf>
    <xf numFmtId="165" fontId="3" fillId="0" borderId="3" xfId="1" applyNumberFormat="1" applyFont="1" applyFill="1" applyBorder="1"/>
    <xf numFmtId="165" fontId="3" fillId="0" borderId="5" xfId="1" applyNumberFormat="1" applyFont="1" applyFill="1" applyBorder="1"/>
    <xf numFmtId="0" fontId="7" fillId="0" borderId="2" xfId="0" applyFont="1" applyFill="1" applyBorder="1" applyAlignment="1"/>
    <xf numFmtId="43" fontId="3" fillId="0" borderId="7" xfId="1" applyFont="1" applyFill="1" applyBorder="1"/>
    <xf numFmtId="43" fontId="3" fillId="0" borderId="2" xfId="1" applyFont="1" applyFill="1" applyBorder="1"/>
    <xf numFmtId="43" fontId="3" fillId="0" borderId="5" xfId="1" applyFont="1" applyFill="1" applyBorder="1"/>
    <xf numFmtId="43" fontId="3" fillId="0" borderId="6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5" fontId="3" fillId="0" borderId="6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center"/>
    </xf>
    <xf numFmtId="166" fontId="2" fillId="0" borderId="5" xfId="2" applyNumberFormat="1" applyFont="1" applyFill="1" applyBorder="1"/>
    <xf numFmtId="166" fontId="2" fillId="0" borderId="6" xfId="2" applyNumberFormat="1" applyFont="1" applyFill="1" applyBorder="1"/>
    <xf numFmtId="166" fontId="2" fillId="0" borderId="7" xfId="2" applyNumberFormat="1" applyFont="1" applyFill="1" applyBorder="1"/>
    <xf numFmtId="166" fontId="7" fillId="0" borderId="2" xfId="0" applyNumberFormat="1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166" fontId="2" fillId="0" borderId="2" xfId="2" applyNumberFormat="1" applyFont="1" applyFill="1" applyBorder="1" applyAlignment="1">
      <alignment horizontal="right"/>
    </xf>
    <xf numFmtId="166" fontId="2" fillId="0" borderId="7" xfId="2" applyNumberFormat="1" applyFont="1" applyFill="1" applyBorder="1" applyAlignment="1">
      <alignment horizontal="right"/>
    </xf>
    <xf numFmtId="167" fontId="3" fillId="0" borderId="7" xfId="1" applyNumberFormat="1" applyFont="1" applyFill="1" applyBorder="1"/>
    <xf numFmtId="167" fontId="3" fillId="0" borderId="2" xfId="1" applyNumberFormat="1" applyFont="1" applyFill="1" applyBorder="1"/>
    <xf numFmtId="167" fontId="3" fillId="0" borderId="5" xfId="1" applyNumberFormat="1" applyFont="1" applyFill="1" applyBorder="1"/>
    <xf numFmtId="167" fontId="3" fillId="0" borderId="6" xfId="1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opLeftCell="A91" workbookViewId="0">
      <selection activeCell="G94" sqref="G94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5" t="s">
        <v>1</v>
      </c>
      <c r="B2" s="115"/>
      <c r="C2" s="115"/>
      <c r="D2" s="115"/>
      <c r="E2" s="115"/>
      <c r="F2" s="115"/>
      <c r="G2" s="115"/>
      <c r="H2" s="115"/>
    </row>
    <row r="4" spans="1:8" x14ac:dyDescent="0.25">
      <c r="A4" s="115" t="s">
        <v>2</v>
      </c>
      <c r="B4" s="115"/>
      <c r="C4" s="115"/>
      <c r="D4" s="115"/>
      <c r="E4" s="115"/>
      <c r="F4" s="115"/>
      <c r="G4" s="115"/>
      <c r="H4" s="115"/>
    </row>
    <row r="6" spans="1:8" x14ac:dyDescent="0.25">
      <c r="A6" s="115" t="s">
        <v>3</v>
      </c>
      <c r="B6" s="115"/>
      <c r="C6" s="115"/>
      <c r="D6" s="115"/>
      <c r="E6" s="115"/>
      <c r="F6" s="115"/>
      <c r="G6" s="115"/>
      <c r="H6" s="115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30">
        <v>0.04</v>
      </c>
      <c r="H11" s="36">
        <f>F11/1000-G11</f>
        <v>2.46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5.1539999999999999</v>
      </c>
      <c r="H12" s="34">
        <f t="shared" ref="H12:H49" si="0">F12/1000-G12</f>
        <v>10.846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1.6859999999999999</v>
      </c>
      <c r="H13" s="36">
        <f t="shared" si="0"/>
        <v>14.314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31">
        <v>0.14599999999999999</v>
      </c>
      <c r="H14" s="37">
        <f t="shared" si="0"/>
        <v>9.8539999999999992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32">
        <v>9.9000000000000005E-2</v>
      </c>
      <c r="H15" s="38">
        <f t="shared" si="0"/>
        <v>9.9009999999999998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2.1349999999999998</v>
      </c>
      <c r="H16" s="34">
        <f t="shared" si="0"/>
        <v>37.865000000000002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0</v>
      </c>
      <c r="H17" s="36" t="s">
        <v>106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0</v>
      </c>
      <c r="H18" s="34" t="s">
        <v>106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0.73099999999999998</v>
      </c>
      <c r="H19" s="35">
        <f t="shared" si="0"/>
        <v>19.268999999999998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0.48399999999999999</v>
      </c>
      <c r="H20" s="36">
        <f t="shared" si="0"/>
        <v>9.516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0</v>
      </c>
      <c r="H21" s="34" t="s">
        <v>106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0.60799999999999998</v>
      </c>
      <c r="H22" s="36">
        <f t="shared" si="0"/>
        <v>15.391999999999999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6.3E-2</v>
      </c>
      <c r="H23" s="38">
        <f t="shared" si="0"/>
        <v>2.4369999999999998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1.284</v>
      </c>
      <c r="H25" s="36">
        <f t="shared" si="0"/>
        <v>5.016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28">
        <v>2.657</v>
      </c>
      <c r="H26" s="34">
        <f t="shared" si="0"/>
        <v>13.343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30">
        <v>0</v>
      </c>
      <c r="H27" s="36" t="s">
        <v>106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2.1000000000000001E-2</v>
      </c>
      <c r="H28" s="38">
        <f t="shared" si="0"/>
        <v>2.4790000000000001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6.6000000000000003E-2</v>
      </c>
      <c r="H29" s="38">
        <f t="shared" si="0"/>
        <v>2.4340000000000002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7.7610000000000001</v>
      </c>
      <c r="H30" s="34">
        <f t="shared" si="0"/>
        <v>32.238999999999997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0.40400000000000003</v>
      </c>
      <c r="H31" s="36">
        <f t="shared" si="0"/>
        <v>19.596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</v>
      </c>
      <c r="H32" s="34" t="s">
        <v>106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1.7090000000000001</v>
      </c>
      <c r="H33" s="36">
        <f t="shared" si="0"/>
        <v>8.2910000000000004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8.3000000000000004E-2</v>
      </c>
      <c r="H34" s="38">
        <f t="shared" si="0"/>
        <v>6.2169999999999996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0.3</v>
      </c>
      <c r="H37" s="34">
        <f t="shared" si="0"/>
        <v>5.3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2.1000000000000001E-2</v>
      </c>
      <c r="H39" s="38">
        <f t="shared" si="0"/>
        <v>0.53900000000000003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8.0000000000000002E-3</v>
      </c>
      <c r="H41" s="36">
        <f t="shared" si="0"/>
        <v>2.492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32"/>
      <c r="H42" s="38">
        <f t="shared" si="0"/>
        <v>1.6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0.126</v>
      </c>
      <c r="H43" s="38">
        <f t="shared" si="0"/>
        <v>6.1739999999999995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9.1999999999999998E-2</v>
      </c>
      <c r="H44" s="34">
        <f t="shared" si="0"/>
        <v>3.9079999999999999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9.2999999999999999E-2</v>
      </c>
      <c r="H46" s="34">
        <f t="shared" si="0"/>
        <v>3.907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0</v>
      </c>
      <c r="H47" s="36" t="s">
        <v>106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5.3999999999999999E-2</v>
      </c>
      <c r="H49" s="38">
        <f t="shared" si="0"/>
        <v>0.94599999999999995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15" t="s">
        <v>48</v>
      </c>
      <c r="B52" s="115"/>
      <c r="C52" s="115"/>
      <c r="D52" s="115"/>
      <c r="E52" s="115"/>
      <c r="F52" s="115"/>
      <c r="G52" s="115"/>
      <c r="H52" s="115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41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8.1739999999999995</v>
      </c>
      <c r="H56" s="43">
        <f>F56-G56</f>
        <v>57.479499999999994</v>
      </c>
    </row>
    <row r="57" spans="1:8" x14ac:dyDescent="0.25">
      <c r="A57" s="17">
        <v>2</v>
      </c>
      <c r="B57" s="44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2.722</v>
      </c>
      <c r="H57" s="46">
        <f t="shared" ref="H57:H108" si="1">F57-G57</f>
        <v>85.810749999999999</v>
      </c>
    </row>
    <row r="58" spans="1:8" x14ac:dyDescent="0.25">
      <c r="A58" s="17">
        <v>3</v>
      </c>
      <c r="B58" s="44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2.383</v>
      </c>
      <c r="H58" s="46">
        <f t="shared" si="1"/>
        <v>86.149749999999997</v>
      </c>
    </row>
    <row r="59" spans="1:8" x14ac:dyDescent="0.25">
      <c r="A59" s="17">
        <v>4</v>
      </c>
      <c r="B59" s="44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7.8330000000000002</v>
      </c>
      <c r="H59" s="46">
        <f t="shared" si="1"/>
        <v>80.699749999999995</v>
      </c>
    </row>
    <row r="60" spans="1:8" x14ac:dyDescent="0.25">
      <c r="A60" s="17">
        <v>5</v>
      </c>
      <c r="B60" s="44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3.0640000000000001</v>
      </c>
      <c r="H60" s="46">
        <f t="shared" si="1"/>
        <v>85.46875</v>
      </c>
    </row>
    <row r="61" spans="1:8" x14ac:dyDescent="0.25">
      <c r="A61" s="17">
        <v>6</v>
      </c>
      <c r="B61" s="44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1.2889999999999999</v>
      </c>
      <c r="H61" s="46">
        <f t="shared" si="1"/>
        <v>87.243749999999991</v>
      </c>
    </row>
    <row r="62" spans="1:8" x14ac:dyDescent="0.25">
      <c r="A62" s="17">
        <v>7</v>
      </c>
      <c r="B62" s="44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4.96</v>
      </c>
      <c r="H62" s="46">
        <f t="shared" si="1"/>
        <v>70.641000000000005</v>
      </c>
    </row>
    <row r="63" spans="1:8" x14ac:dyDescent="0.25">
      <c r="A63" s="17">
        <v>8</v>
      </c>
      <c r="B63" s="44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11.622999999999999</v>
      </c>
      <c r="H63" s="46">
        <f t="shared" si="1"/>
        <v>89.841499999999996</v>
      </c>
    </row>
    <row r="64" spans="1:8" x14ac:dyDescent="0.25">
      <c r="A64" s="17">
        <v>9</v>
      </c>
      <c r="B64" s="44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5.5960000000000001</v>
      </c>
      <c r="H64" s="46">
        <f t="shared" si="1"/>
        <v>95.868499999999997</v>
      </c>
    </row>
    <row r="65" spans="1:8" x14ac:dyDescent="0.25">
      <c r="A65" s="17">
        <v>10</v>
      </c>
      <c r="B65" s="44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8.6999999999999994E-2</v>
      </c>
      <c r="H65" s="46">
        <f t="shared" si="1"/>
        <v>75.513999999999996</v>
      </c>
    </row>
    <row r="66" spans="1:8" x14ac:dyDescent="0.25">
      <c r="A66" s="18">
        <v>11</v>
      </c>
      <c r="B66" s="47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1.2E-2</v>
      </c>
      <c r="H66" s="49">
        <f t="shared" si="1"/>
        <v>11.18975</v>
      </c>
    </row>
    <row r="67" spans="1:8" x14ac:dyDescent="0.25">
      <c r="A67" s="20"/>
      <c r="B67" s="4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41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0.10299999999999999</v>
      </c>
      <c r="H68" s="43">
        <f t="shared" si="1"/>
        <v>75.498000000000005</v>
      </c>
    </row>
    <row r="69" spans="1:8" x14ac:dyDescent="0.25">
      <c r="A69" s="17">
        <v>13</v>
      </c>
      <c r="B69" s="44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47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1.484</v>
      </c>
      <c r="H70" s="49">
        <f t="shared" si="1"/>
        <v>74.117000000000004</v>
      </c>
    </row>
    <row r="71" spans="1:8" x14ac:dyDescent="0.25">
      <c r="A71" s="20"/>
      <c r="B71" s="4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41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6.77</v>
      </c>
      <c r="H72" s="43">
        <f t="shared" si="1"/>
        <v>94.694500000000005</v>
      </c>
    </row>
    <row r="73" spans="1:8" x14ac:dyDescent="0.25">
      <c r="A73" s="18">
        <v>16</v>
      </c>
      <c r="B73" s="47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2.6829999999999998</v>
      </c>
      <c r="H73" s="49">
        <f t="shared" si="1"/>
        <v>14.27965</v>
      </c>
    </row>
    <row r="74" spans="1:8" x14ac:dyDescent="0.25">
      <c r="A74" s="20"/>
      <c r="B74" s="4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41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6.6000000000000003E-2</v>
      </c>
      <c r="H75" s="43">
        <f t="shared" si="1"/>
        <v>21.057300000000005</v>
      </c>
    </row>
    <row r="76" spans="1:8" x14ac:dyDescent="0.25">
      <c r="A76" s="17">
        <v>18</v>
      </c>
      <c r="B76" s="44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1.93</v>
      </c>
      <c r="H76" s="46">
        <f t="shared" si="1"/>
        <v>15.03265</v>
      </c>
    </row>
    <row r="77" spans="1:8" x14ac:dyDescent="0.25">
      <c r="A77" s="17">
        <v>19</v>
      </c>
      <c r="B77" s="44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44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47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8.1000000000000003E-2</v>
      </c>
      <c r="H79" s="49">
        <f t="shared" si="1"/>
        <v>21.042300000000004</v>
      </c>
    </row>
    <row r="80" spans="1:8" x14ac:dyDescent="0.25">
      <c r="A80" s="20"/>
      <c r="B80" s="4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5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4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5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4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41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2.7E-2</v>
      </c>
      <c r="H85" s="43">
        <f t="shared" si="1"/>
        <v>75.573999999999998</v>
      </c>
    </row>
    <row r="86" spans="1:8" x14ac:dyDescent="0.25">
      <c r="A86" s="17">
        <v>25</v>
      </c>
      <c r="B86" s="44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2.7360000000000002</v>
      </c>
      <c r="H86" s="46">
        <f t="shared" si="1"/>
        <v>98.728499999999997</v>
      </c>
    </row>
    <row r="87" spans="1:8" x14ac:dyDescent="0.25">
      <c r="A87" s="18">
        <v>26</v>
      </c>
      <c r="B87" s="47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1.643</v>
      </c>
      <c r="H87" s="49">
        <f t="shared" si="1"/>
        <v>11.799099999999999</v>
      </c>
    </row>
    <row r="88" spans="1:8" x14ac:dyDescent="0.25">
      <c r="A88" s="20"/>
      <c r="B88" s="4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41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4.8310000000000004</v>
      </c>
      <c r="H89" s="43">
        <f t="shared" si="1"/>
        <v>70.77</v>
      </c>
    </row>
    <row r="90" spans="1:8" x14ac:dyDescent="0.25">
      <c r="A90" s="18">
        <v>28</v>
      </c>
      <c r="B90" s="47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5.0000000000000001E-3</v>
      </c>
      <c r="H90" s="49">
        <f t="shared" si="1"/>
        <v>16.957650000000001</v>
      </c>
    </row>
    <row r="91" spans="1:8" x14ac:dyDescent="0.25">
      <c r="A91" s="20"/>
      <c r="B91" s="4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5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0.129</v>
      </c>
      <c r="H92" s="52">
        <f t="shared" si="1"/>
        <v>16.833649999999999</v>
      </c>
    </row>
    <row r="93" spans="1:8" x14ac:dyDescent="0.25">
      <c r="A93" s="20"/>
      <c r="B93" s="4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5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0.79</v>
      </c>
      <c r="H94" s="52">
        <f t="shared" si="1"/>
        <v>16.172650000000001</v>
      </c>
    </row>
    <row r="95" spans="1:8" x14ac:dyDescent="0.25">
      <c r="A95" s="20"/>
      <c r="B95" s="4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41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28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47" t="s">
        <v>93</v>
      </c>
      <c r="C97" s="25">
        <v>38.6</v>
      </c>
      <c r="D97" s="68">
        <v>95</v>
      </c>
      <c r="E97" s="48">
        <v>35</v>
      </c>
      <c r="F97" s="49">
        <f>1.73*37*330/1000</f>
        <v>21.123300000000004</v>
      </c>
      <c r="G97" s="30">
        <v>1.038</v>
      </c>
      <c r="H97" s="49">
        <f t="shared" si="1"/>
        <v>20.085300000000004</v>
      </c>
    </row>
    <row r="98" spans="1:8" x14ac:dyDescent="0.25">
      <c r="A98" s="20"/>
      <c r="B98" s="40" t="s">
        <v>94</v>
      </c>
      <c r="C98" s="26"/>
      <c r="D98" s="69"/>
      <c r="E98" s="40"/>
      <c r="F98" s="50"/>
      <c r="G98" s="32"/>
      <c r="H98" s="50"/>
    </row>
    <row r="99" spans="1:8" x14ac:dyDescent="0.25">
      <c r="A99" s="20">
        <v>33</v>
      </c>
      <c r="B99" s="5" t="s">
        <v>95</v>
      </c>
      <c r="C99" s="26">
        <v>17.7</v>
      </c>
      <c r="D99" s="69">
        <v>70</v>
      </c>
      <c r="E99" s="51">
        <v>35</v>
      </c>
      <c r="F99" s="52">
        <f>1.73*37*265/1000</f>
        <v>16.96265</v>
      </c>
      <c r="G99" s="32">
        <v>2.1000000000000001E-2</v>
      </c>
      <c r="H99" s="52">
        <f t="shared" si="1"/>
        <v>16.941649999999999</v>
      </c>
    </row>
    <row r="100" spans="1:8" x14ac:dyDescent="0.25">
      <c r="A100" s="20"/>
      <c r="B100" s="40" t="s">
        <v>96</v>
      </c>
      <c r="C100" s="26"/>
      <c r="D100" s="69"/>
      <c r="E100" s="40"/>
      <c r="F100" s="50"/>
      <c r="G100" s="32"/>
      <c r="H100" s="50"/>
    </row>
    <row r="101" spans="1:8" x14ac:dyDescent="0.25">
      <c r="A101" s="20">
        <v>34</v>
      </c>
      <c r="B101" s="5" t="s">
        <v>97</v>
      </c>
      <c r="C101" s="26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0.48099999999999998</v>
      </c>
      <c r="H101" s="52">
        <f t="shared" si="1"/>
        <v>20.642300000000002</v>
      </c>
    </row>
    <row r="102" spans="1:8" x14ac:dyDescent="0.25">
      <c r="A102" s="20"/>
      <c r="B102" s="40" t="s">
        <v>98</v>
      </c>
      <c r="C102" s="26"/>
      <c r="D102" s="69"/>
      <c r="E102" s="40"/>
      <c r="F102" s="50"/>
      <c r="G102" s="32"/>
      <c r="H102" s="50"/>
    </row>
    <row r="103" spans="1:8" x14ac:dyDescent="0.25">
      <c r="A103" s="16">
        <v>35</v>
      </c>
      <c r="B103" s="41" t="s">
        <v>99</v>
      </c>
      <c r="C103" s="23">
        <v>28.96</v>
      </c>
      <c r="D103" s="70">
        <v>70</v>
      </c>
      <c r="E103" s="42">
        <v>35</v>
      </c>
      <c r="F103" s="43">
        <f>1.73*37*265/1000</f>
        <v>16.96265</v>
      </c>
      <c r="G103" s="28">
        <v>4.2000000000000003E-2</v>
      </c>
      <c r="H103" s="43">
        <f t="shared" si="1"/>
        <v>16.920649999999998</v>
      </c>
    </row>
    <row r="104" spans="1:8" x14ac:dyDescent="0.25">
      <c r="A104" s="17">
        <v>36</v>
      </c>
      <c r="B104" s="44" t="s">
        <v>100</v>
      </c>
      <c r="C104" s="24">
        <v>15</v>
      </c>
      <c r="D104" s="71">
        <v>70</v>
      </c>
      <c r="E104" s="45">
        <v>35</v>
      </c>
      <c r="F104" s="46">
        <f>1.73*37*265/1000</f>
        <v>16.96265</v>
      </c>
      <c r="G104" s="29">
        <v>0.314</v>
      </c>
      <c r="H104" s="46">
        <f t="shared" si="1"/>
        <v>16.64865</v>
      </c>
    </row>
    <row r="105" spans="1:8" x14ac:dyDescent="0.25">
      <c r="A105" s="18">
        <v>37</v>
      </c>
      <c r="B105" s="47" t="s">
        <v>101</v>
      </c>
      <c r="C105" s="25">
        <v>35.26</v>
      </c>
      <c r="D105" s="68">
        <v>70</v>
      </c>
      <c r="E105" s="48">
        <v>35</v>
      </c>
      <c r="F105" s="49">
        <f>1.73*37*265/1000</f>
        <v>16.96265</v>
      </c>
      <c r="G105" s="30">
        <v>0.66200000000000003</v>
      </c>
      <c r="H105" s="49">
        <f t="shared" si="1"/>
        <v>16.300650000000001</v>
      </c>
    </row>
    <row r="106" spans="1:8" x14ac:dyDescent="0.25">
      <c r="A106" s="20"/>
      <c r="B106" s="40" t="s">
        <v>102</v>
      </c>
      <c r="C106" s="26"/>
      <c r="D106" s="69"/>
      <c r="E106" s="40"/>
      <c r="F106" s="50"/>
      <c r="G106" s="32"/>
      <c r="H106" s="50"/>
    </row>
    <row r="107" spans="1:8" x14ac:dyDescent="0.25">
      <c r="A107" s="16">
        <v>38</v>
      </c>
      <c r="B107" s="41" t="s">
        <v>103</v>
      </c>
      <c r="C107" s="23">
        <v>40.75</v>
      </c>
      <c r="D107" s="70">
        <v>70</v>
      </c>
      <c r="E107" s="42">
        <v>35</v>
      </c>
      <c r="F107" s="43">
        <f>1.73*37*265/1000</f>
        <v>16.96265</v>
      </c>
      <c r="G107" s="28">
        <v>0.193</v>
      </c>
      <c r="H107" s="43">
        <f t="shared" si="1"/>
        <v>16.769649999999999</v>
      </c>
    </row>
    <row r="108" spans="1:8" x14ac:dyDescent="0.25">
      <c r="A108" s="18">
        <v>39</v>
      </c>
      <c r="B108" s="47" t="s">
        <v>104</v>
      </c>
      <c r="C108" s="25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0.151</v>
      </c>
      <c r="H108" s="49">
        <f t="shared" si="1"/>
        <v>24.172800000000002</v>
      </c>
    </row>
  </sheetData>
  <mergeCells count="5">
    <mergeCell ref="A6:H6"/>
    <mergeCell ref="A4:H4"/>
    <mergeCell ref="A1:H1"/>
    <mergeCell ref="A2:H2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workbookViewId="0">
      <selection activeCell="G42" sqref="G42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5" t="s">
        <v>1</v>
      </c>
      <c r="B2" s="115"/>
      <c r="C2" s="115"/>
      <c r="D2" s="115"/>
      <c r="E2" s="115"/>
      <c r="F2" s="115"/>
      <c r="G2" s="115"/>
      <c r="H2" s="115"/>
    </row>
    <row r="4" spans="1:8" x14ac:dyDescent="0.25">
      <c r="A4" s="115" t="s">
        <v>2</v>
      </c>
      <c r="B4" s="115"/>
      <c r="C4" s="115"/>
      <c r="D4" s="115"/>
      <c r="E4" s="115"/>
      <c r="F4" s="115"/>
      <c r="G4" s="115"/>
      <c r="H4" s="115"/>
    </row>
    <row r="6" spans="1:8" x14ac:dyDescent="0.25">
      <c r="A6" s="115" t="s">
        <v>3</v>
      </c>
      <c r="B6" s="115"/>
      <c r="C6" s="115"/>
      <c r="D6" s="115"/>
      <c r="E6" s="115"/>
      <c r="F6" s="115"/>
      <c r="G6" s="115"/>
      <c r="H6" s="115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30">
        <v>0</v>
      </c>
      <c r="H11" s="36">
        <f>F11/1000-G11</f>
        <v>2.5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3.4420000000000002</v>
      </c>
      <c r="H12" s="34">
        <f t="shared" ref="H12:H49" si="0">F12/1000-G12</f>
        <v>12.558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1.6040000000000001</v>
      </c>
      <c r="H13" s="36">
        <f t="shared" si="0"/>
        <v>14.396000000000001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31">
        <v>0.13</v>
      </c>
      <c r="H14" s="37">
        <f t="shared" si="0"/>
        <v>9.8699999999999992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32">
        <v>8.5999999999999993E-2</v>
      </c>
      <c r="H15" s="38">
        <f t="shared" si="0"/>
        <v>9.9139999999999997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1.806</v>
      </c>
      <c r="H16" s="34">
        <f t="shared" si="0"/>
        <v>38.194000000000003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0</v>
      </c>
      <c r="H17" s="36" t="s">
        <v>106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0</v>
      </c>
      <c r="H18" s="34" t="s">
        <v>106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0.749</v>
      </c>
      <c r="H19" s="35">
        <f t="shared" si="0"/>
        <v>19.251000000000001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0.53</v>
      </c>
      <c r="H20" s="36">
        <f t="shared" si="0"/>
        <v>9.4700000000000006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0</v>
      </c>
      <c r="H21" s="34" t="s">
        <v>106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0.39100000000000001</v>
      </c>
      <c r="H22" s="36">
        <f t="shared" si="0"/>
        <v>15.609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6.5000000000000002E-2</v>
      </c>
      <c r="H23" s="38">
        <f t="shared" si="0"/>
        <v>2.4350000000000001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0.90500000000000003</v>
      </c>
      <c r="H25" s="36">
        <f t="shared" si="0"/>
        <v>5.3949999999999996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28">
        <v>1.742</v>
      </c>
      <c r="H26" s="34">
        <f t="shared" si="0"/>
        <v>14.257999999999999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30">
        <v>0</v>
      </c>
      <c r="H27" s="36" t="s">
        <v>106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2.4E-2</v>
      </c>
      <c r="H28" s="38">
        <f t="shared" si="0"/>
        <v>2.476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5.7000000000000002E-2</v>
      </c>
      <c r="H29" s="38">
        <f t="shared" si="0"/>
        <v>2.4430000000000001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6.25</v>
      </c>
      <c r="H30" s="34">
        <f t="shared" si="0"/>
        <v>33.75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2.605</v>
      </c>
      <c r="H31" s="36">
        <f t="shared" si="0"/>
        <v>17.395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0.40899999999999997</v>
      </c>
      <c r="H32" s="28">
        <f t="shared" si="0"/>
        <v>9.5909999999999993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0.872</v>
      </c>
      <c r="H33" s="30">
        <f t="shared" si="0"/>
        <v>9.1280000000000001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8.4000000000000005E-2</v>
      </c>
      <c r="H34" s="38">
        <f t="shared" si="0"/>
        <v>6.2160000000000002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0.188</v>
      </c>
      <c r="H37" s="34">
        <f t="shared" si="0"/>
        <v>5.4119999999999999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1.2999999999999999E-2</v>
      </c>
      <c r="H39" s="38">
        <f t="shared" si="0"/>
        <v>0.54700000000000004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5.0000000000000001E-3</v>
      </c>
      <c r="H41" s="36">
        <f t="shared" si="0"/>
        <v>2.4950000000000001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73">
        <v>5.5E-2</v>
      </c>
      <c r="H42" s="38">
        <f t="shared" si="0"/>
        <v>1.5450000000000002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0.36799999999999999</v>
      </c>
      <c r="H43" s="38">
        <f t="shared" si="0"/>
        <v>5.9319999999999995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6.7000000000000004E-2</v>
      </c>
      <c r="H44" s="34">
        <f t="shared" si="0"/>
        <v>3.9329999999999998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8.2000000000000003E-2</v>
      </c>
      <c r="H46" s="34">
        <f t="shared" si="0"/>
        <v>3.9180000000000001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0</v>
      </c>
      <c r="H47" s="36" t="s">
        <v>106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7.3999999999999996E-2</v>
      </c>
      <c r="H49" s="38">
        <f t="shared" si="0"/>
        <v>0.92600000000000005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15" t="s">
        <v>48</v>
      </c>
      <c r="B52" s="115"/>
      <c r="C52" s="115"/>
      <c r="D52" s="115"/>
      <c r="E52" s="115"/>
      <c r="F52" s="115"/>
      <c r="G52" s="115"/>
      <c r="H52" s="115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41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6.5380000000000003</v>
      </c>
      <c r="H56" s="43">
        <f>F56-G56</f>
        <v>59.115499999999997</v>
      </c>
    </row>
    <row r="57" spans="1:8" x14ac:dyDescent="0.25">
      <c r="A57" s="17">
        <v>2</v>
      </c>
      <c r="B57" s="44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2.653</v>
      </c>
      <c r="H57" s="46">
        <f t="shared" ref="H57:H108" si="1">F57-G57</f>
        <v>85.879749999999987</v>
      </c>
    </row>
    <row r="58" spans="1:8" x14ac:dyDescent="0.25">
      <c r="A58" s="17">
        <v>3</v>
      </c>
      <c r="B58" s="44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1.1870000000000001</v>
      </c>
      <c r="H58" s="46">
        <f t="shared" si="1"/>
        <v>87.345749999999995</v>
      </c>
    </row>
    <row r="59" spans="1:8" x14ac:dyDescent="0.25">
      <c r="A59" s="17">
        <v>4</v>
      </c>
      <c r="B59" s="44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6.5419999999999998</v>
      </c>
      <c r="H59" s="46">
        <f t="shared" si="1"/>
        <v>81.990749999999991</v>
      </c>
    </row>
    <row r="60" spans="1:8" x14ac:dyDescent="0.25">
      <c r="A60" s="17">
        <v>5</v>
      </c>
      <c r="B60" s="44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3.4540000000000002</v>
      </c>
      <c r="H60" s="46">
        <f t="shared" si="1"/>
        <v>85.078749999999999</v>
      </c>
    </row>
    <row r="61" spans="1:8" x14ac:dyDescent="0.25">
      <c r="A61" s="17">
        <v>6</v>
      </c>
      <c r="B61" s="44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1.4019999999999999</v>
      </c>
      <c r="H61" s="46">
        <f t="shared" si="1"/>
        <v>87.130749999999992</v>
      </c>
    </row>
    <row r="62" spans="1:8" x14ac:dyDescent="0.25">
      <c r="A62" s="17">
        <v>7</v>
      </c>
      <c r="B62" s="44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4.1849999999999996</v>
      </c>
      <c r="H62" s="46">
        <f t="shared" si="1"/>
        <v>71.415999999999997</v>
      </c>
    </row>
    <row r="63" spans="1:8" x14ac:dyDescent="0.25">
      <c r="A63" s="17">
        <v>8</v>
      </c>
      <c r="B63" s="44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9.2119999999999997</v>
      </c>
      <c r="H63" s="46">
        <f t="shared" si="1"/>
        <v>92.252499999999998</v>
      </c>
    </row>
    <row r="64" spans="1:8" x14ac:dyDescent="0.25">
      <c r="A64" s="17">
        <v>9</v>
      </c>
      <c r="B64" s="44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4.3239999999999998</v>
      </c>
      <c r="H64" s="46">
        <f t="shared" si="1"/>
        <v>97.140500000000003</v>
      </c>
    </row>
    <row r="65" spans="1:8" x14ac:dyDescent="0.25">
      <c r="A65" s="17">
        <v>10</v>
      </c>
      <c r="B65" s="44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2.7250000000000001</v>
      </c>
      <c r="H65" s="46">
        <f t="shared" si="1"/>
        <v>72.876000000000005</v>
      </c>
    </row>
    <row r="66" spans="1:8" x14ac:dyDescent="0.25">
      <c r="A66" s="18">
        <v>11</v>
      </c>
      <c r="B66" s="47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8.5000000000000006E-2</v>
      </c>
      <c r="H66" s="49">
        <f t="shared" si="1"/>
        <v>11.11675</v>
      </c>
    </row>
    <row r="67" spans="1:8" x14ac:dyDescent="0.25">
      <c r="A67" s="20"/>
      <c r="B67" s="4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41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6.9000000000000006E-2</v>
      </c>
      <c r="H68" s="43">
        <f t="shared" si="1"/>
        <v>75.531999999999996</v>
      </c>
    </row>
    <row r="69" spans="1:8" x14ac:dyDescent="0.25">
      <c r="A69" s="17">
        <v>13</v>
      </c>
      <c r="B69" s="44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47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1.268</v>
      </c>
      <c r="H70" s="49">
        <f t="shared" si="1"/>
        <v>74.332999999999998</v>
      </c>
    </row>
    <row r="71" spans="1:8" x14ac:dyDescent="0.25">
      <c r="A71" s="20"/>
      <c r="B71" s="4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41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4.4790000000000001</v>
      </c>
      <c r="H72" s="43">
        <f t="shared" si="1"/>
        <v>96.985500000000002</v>
      </c>
    </row>
    <row r="73" spans="1:8" x14ac:dyDescent="0.25">
      <c r="A73" s="18">
        <v>16</v>
      </c>
      <c r="B73" s="47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2.0470000000000002</v>
      </c>
      <c r="H73" s="49">
        <f t="shared" si="1"/>
        <v>14.915649999999999</v>
      </c>
    </row>
    <row r="74" spans="1:8" x14ac:dyDescent="0.25">
      <c r="A74" s="20"/>
      <c r="B74" s="4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41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4.2000000000000003E-2</v>
      </c>
      <c r="H75" s="43">
        <f t="shared" si="1"/>
        <v>21.081300000000002</v>
      </c>
    </row>
    <row r="76" spans="1:8" x14ac:dyDescent="0.25">
      <c r="A76" s="17">
        <v>18</v>
      </c>
      <c r="B76" s="44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1.7490000000000001</v>
      </c>
      <c r="H76" s="46">
        <f t="shared" si="1"/>
        <v>15.213649999999999</v>
      </c>
    </row>
    <row r="77" spans="1:8" x14ac:dyDescent="0.25">
      <c r="A77" s="17">
        <v>19</v>
      </c>
      <c r="B77" s="44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44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47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9.6000000000000002E-2</v>
      </c>
      <c r="H79" s="49">
        <f t="shared" si="1"/>
        <v>21.027300000000004</v>
      </c>
    </row>
    <row r="80" spans="1:8" x14ac:dyDescent="0.25">
      <c r="A80" s="20"/>
      <c r="B80" s="4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5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4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5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4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41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0.03</v>
      </c>
      <c r="H85" s="43">
        <f t="shared" si="1"/>
        <v>75.570999999999998</v>
      </c>
    </row>
    <row r="86" spans="1:8" x14ac:dyDescent="0.25">
      <c r="A86" s="17">
        <v>25</v>
      </c>
      <c r="B86" s="44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4.8639999999999999</v>
      </c>
      <c r="H86" s="46">
        <f t="shared" si="1"/>
        <v>96.600499999999997</v>
      </c>
    </row>
    <row r="87" spans="1:8" x14ac:dyDescent="0.25">
      <c r="A87" s="18">
        <v>26</v>
      </c>
      <c r="B87" s="47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1.3759999999999999</v>
      </c>
      <c r="H87" s="49">
        <f t="shared" si="1"/>
        <v>12.0661</v>
      </c>
    </row>
    <row r="88" spans="1:8" x14ac:dyDescent="0.25">
      <c r="A88" s="20"/>
      <c r="B88" s="4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41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5.2149999999999999</v>
      </c>
      <c r="H89" s="43">
        <f t="shared" si="1"/>
        <v>70.385999999999996</v>
      </c>
    </row>
    <row r="90" spans="1:8" x14ac:dyDescent="0.25">
      <c r="A90" s="18">
        <v>28</v>
      </c>
      <c r="B90" s="47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0</v>
      </c>
      <c r="H90" s="77" t="s">
        <v>106</v>
      </c>
    </row>
    <row r="91" spans="1:8" x14ac:dyDescent="0.25">
      <c r="A91" s="20"/>
      <c r="B91" s="4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5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0.129</v>
      </c>
      <c r="H92" s="52">
        <f t="shared" si="1"/>
        <v>16.833649999999999</v>
      </c>
    </row>
    <row r="93" spans="1:8" x14ac:dyDescent="0.25">
      <c r="A93" s="20"/>
      <c r="B93" s="4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5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0.59299999999999997</v>
      </c>
      <c r="H94" s="52">
        <f t="shared" si="1"/>
        <v>16.36965</v>
      </c>
    </row>
    <row r="95" spans="1:8" x14ac:dyDescent="0.25">
      <c r="A95" s="20"/>
      <c r="B95" s="4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41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28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47" t="s">
        <v>93</v>
      </c>
      <c r="C97" s="25">
        <v>38.6</v>
      </c>
      <c r="D97" s="68">
        <v>95</v>
      </c>
      <c r="E97" s="48">
        <v>35</v>
      </c>
      <c r="F97" s="49">
        <f>1.73*37*330/1000</f>
        <v>21.123300000000004</v>
      </c>
      <c r="G97" s="30">
        <v>5.5E-2</v>
      </c>
      <c r="H97" s="49">
        <f t="shared" si="1"/>
        <v>21.068300000000004</v>
      </c>
    </row>
    <row r="98" spans="1:8" x14ac:dyDescent="0.25">
      <c r="A98" s="20"/>
      <c r="B98" s="40" t="s">
        <v>94</v>
      </c>
      <c r="C98" s="26"/>
      <c r="D98" s="69"/>
      <c r="E98" s="40"/>
      <c r="F98" s="50"/>
      <c r="G98" s="32"/>
      <c r="H98" s="50"/>
    </row>
    <row r="99" spans="1:8" x14ac:dyDescent="0.25">
      <c r="A99" s="20">
        <v>33</v>
      </c>
      <c r="B99" s="5" t="s">
        <v>95</v>
      </c>
      <c r="C99" s="26">
        <v>17.7</v>
      </c>
      <c r="D99" s="69">
        <v>70</v>
      </c>
      <c r="E99" s="51">
        <v>35</v>
      </c>
      <c r="F99" s="52">
        <f>1.73*37*265/1000</f>
        <v>16.96265</v>
      </c>
      <c r="G99" s="32">
        <v>1.2999999999999999E-2</v>
      </c>
      <c r="H99" s="52">
        <f t="shared" si="1"/>
        <v>16.949649999999998</v>
      </c>
    </row>
    <row r="100" spans="1:8" x14ac:dyDescent="0.25">
      <c r="A100" s="20"/>
      <c r="B100" s="40" t="s">
        <v>96</v>
      </c>
      <c r="C100" s="26"/>
      <c r="D100" s="69"/>
      <c r="E100" s="40"/>
      <c r="F100" s="50"/>
      <c r="G100" s="32"/>
      <c r="H100" s="50"/>
    </row>
    <row r="101" spans="1:8" x14ac:dyDescent="0.25">
      <c r="A101" s="20">
        <v>34</v>
      </c>
      <c r="B101" s="5" t="s">
        <v>97</v>
      </c>
      <c r="C101" s="26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0.52700000000000002</v>
      </c>
      <c r="H101" s="52">
        <f t="shared" si="1"/>
        <v>20.596300000000003</v>
      </c>
    </row>
    <row r="102" spans="1:8" x14ac:dyDescent="0.25">
      <c r="A102" s="20"/>
      <c r="B102" s="40" t="s">
        <v>98</v>
      </c>
      <c r="C102" s="26"/>
      <c r="D102" s="69"/>
      <c r="E102" s="40"/>
      <c r="F102" s="50"/>
      <c r="G102" s="32"/>
      <c r="H102" s="50"/>
    </row>
    <row r="103" spans="1:8" x14ac:dyDescent="0.25">
      <c r="A103" s="16">
        <v>35</v>
      </c>
      <c r="B103" s="41" t="s">
        <v>99</v>
      </c>
      <c r="C103" s="23">
        <v>28.96</v>
      </c>
      <c r="D103" s="70">
        <v>70</v>
      </c>
      <c r="E103" s="42">
        <v>35</v>
      </c>
      <c r="F103" s="43">
        <f>1.73*37*265/1000</f>
        <v>16.96265</v>
      </c>
      <c r="G103" s="28">
        <v>4.2999999999999997E-2</v>
      </c>
      <c r="H103" s="43">
        <f t="shared" si="1"/>
        <v>16.919650000000001</v>
      </c>
    </row>
    <row r="104" spans="1:8" x14ac:dyDescent="0.25">
      <c r="A104" s="17">
        <v>36</v>
      </c>
      <c r="B104" s="44" t="s">
        <v>100</v>
      </c>
      <c r="C104" s="24">
        <v>15</v>
      </c>
      <c r="D104" s="71">
        <v>70</v>
      </c>
      <c r="E104" s="45">
        <v>35</v>
      </c>
      <c r="F104" s="46">
        <f>1.73*37*265/1000</f>
        <v>16.96265</v>
      </c>
      <c r="G104" s="29">
        <v>0.214</v>
      </c>
      <c r="H104" s="46">
        <f t="shared" si="1"/>
        <v>16.748650000000001</v>
      </c>
    </row>
    <row r="105" spans="1:8" x14ac:dyDescent="0.25">
      <c r="A105" s="18">
        <v>37</v>
      </c>
      <c r="B105" s="47" t="s">
        <v>101</v>
      </c>
      <c r="C105" s="25">
        <v>35.26</v>
      </c>
      <c r="D105" s="68">
        <v>70</v>
      </c>
      <c r="E105" s="48">
        <v>35</v>
      </c>
      <c r="F105" s="49">
        <f>1.73*37*265/1000</f>
        <v>16.96265</v>
      </c>
      <c r="G105" s="30">
        <v>0.72899999999999998</v>
      </c>
      <c r="H105" s="49">
        <f t="shared" si="1"/>
        <v>16.233650000000001</v>
      </c>
    </row>
    <row r="106" spans="1:8" x14ac:dyDescent="0.25">
      <c r="A106" s="20"/>
      <c r="B106" s="40" t="s">
        <v>102</v>
      </c>
      <c r="C106" s="26"/>
      <c r="D106" s="69"/>
      <c r="E106" s="40"/>
      <c r="F106" s="50"/>
      <c r="G106" s="32"/>
      <c r="H106" s="50"/>
    </row>
    <row r="107" spans="1:8" x14ac:dyDescent="0.25">
      <c r="A107" s="16">
        <v>38</v>
      </c>
      <c r="B107" s="41" t="s">
        <v>103</v>
      </c>
      <c r="C107" s="23">
        <v>40.75</v>
      </c>
      <c r="D107" s="70">
        <v>70</v>
      </c>
      <c r="E107" s="42">
        <v>35</v>
      </c>
      <c r="F107" s="43">
        <f>1.73*37*265/1000</f>
        <v>16.96265</v>
      </c>
      <c r="G107" s="28">
        <v>0.19800000000000001</v>
      </c>
      <c r="H107" s="43">
        <f t="shared" si="1"/>
        <v>16.76465</v>
      </c>
    </row>
    <row r="108" spans="1:8" x14ac:dyDescent="0.25">
      <c r="A108" s="18">
        <v>39</v>
      </c>
      <c r="B108" s="47" t="s">
        <v>104</v>
      </c>
      <c r="C108" s="25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0.14899999999999999</v>
      </c>
      <c r="H108" s="49">
        <f t="shared" si="1"/>
        <v>24.174800000000001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opLeftCell="A28" workbookViewId="0">
      <selection activeCell="D53" sqref="D53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5" t="s">
        <v>1</v>
      </c>
      <c r="B2" s="115"/>
      <c r="C2" s="115"/>
      <c r="D2" s="115"/>
      <c r="E2" s="115"/>
      <c r="F2" s="115"/>
      <c r="G2" s="115"/>
      <c r="H2" s="115"/>
    </row>
    <row r="4" spans="1:8" x14ac:dyDescent="0.25">
      <c r="A4" s="115" t="s">
        <v>2</v>
      </c>
      <c r="B4" s="115"/>
      <c r="C4" s="115"/>
      <c r="D4" s="115"/>
      <c r="E4" s="115"/>
      <c r="F4" s="115"/>
      <c r="G4" s="115"/>
      <c r="H4" s="115"/>
    </row>
    <row r="6" spans="1:8" x14ac:dyDescent="0.25">
      <c r="A6" s="115" t="s">
        <v>3</v>
      </c>
      <c r="B6" s="115"/>
      <c r="C6" s="115"/>
      <c r="D6" s="115"/>
      <c r="E6" s="115"/>
      <c r="F6" s="115"/>
      <c r="G6" s="115"/>
      <c r="H6" s="115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55">
        <v>0.03</v>
      </c>
      <c r="H11" s="36">
        <f>F11/1000-G11</f>
        <v>2.4700000000000002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3.121</v>
      </c>
      <c r="H12" s="34">
        <f t="shared" ref="H12:H49" si="0">F12/1000-G12</f>
        <v>12.879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1.0109999999999999</v>
      </c>
      <c r="H13" s="36">
        <f t="shared" si="0"/>
        <v>14.989000000000001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78">
        <v>0.04</v>
      </c>
      <c r="H14" s="37">
        <f t="shared" si="0"/>
        <v>9.9600000000000009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73">
        <v>0.02</v>
      </c>
      <c r="H15" s="38">
        <f t="shared" si="0"/>
        <v>9.98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0.83799999999999997</v>
      </c>
      <c r="H16" s="34">
        <f t="shared" si="0"/>
        <v>39.161999999999999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0.32400000000000001</v>
      </c>
      <c r="H17" s="36">
        <f t="shared" si="0"/>
        <v>5.2759999999999998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0</v>
      </c>
      <c r="H18" s="34" t="s">
        <v>106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0.55700000000000005</v>
      </c>
      <c r="H19" s="35">
        <f t="shared" si="0"/>
        <v>19.443000000000001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0.47799999999999998</v>
      </c>
      <c r="H20" s="36">
        <f t="shared" si="0"/>
        <v>9.5220000000000002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6.0000000000000001E-3</v>
      </c>
      <c r="H21" s="28">
        <f t="shared" si="0"/>
        <v>15.994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0.13</v>
      </c>
      <c r="H22" s="30">
        <f t="shared" si="0"/>
        <v>15.87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5.3999999999999999E-2</v>
      </c>
      <c r="H23" s="38">
        <f t="shared" si="0"/>
        <v>2.4460000000000002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1.0409999999999999</v>
      </c>
      <c r="H25" s="36">
        <f t="shared" si="0"/>
        <v>5.2590000000000003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79">
        <v>0.98</v>
      </c>
      <c r="H26" s="79">
        <f t="shared" si="0"/>
        <v>15.02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55">
        <v>0.105</v>
      </c>
      <c r="H27" s="55">
        <f t="shared" si="0"/>
        <v>15.895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1.9E-2</v>
      </c>
      <c r="H28" s="38">
        <f t="shared" si="0"/>
        <v>2.4809999999999999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5.5E-2</v>
      </c>
      <c r="H29" s="38">
        <f t="shared" si="0"/>
        <v>2.4449999999999998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8.2739999999999991</v>
      </c>
      <c r="H30" s="34">
        <f t="shared" si="0"/>
        <v>31.725999999999999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0</v>
      </c>
      <c r="H31" s="36" t="s">
        <v>106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0.754</v>
      </c>
      <c r="H32" s="28">
        <f t="shared" si="0"/>
        <v>9.2460000000000004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0</v>
      </c>
      <c r="H33" s="36" t="s">
        <v>106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7.2999999999999995E-2</v>
      </c>
      <c r="H34" s="38">
        <f t="shared" si="0"/>
        <v>6.2269999999999994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9.4E-2</v>
      </c>
      <c r="H37" s="34">
        <f t="shared" si="0"/>
        <v>5.5059999999999993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8.0000000000000002E-3</v>
      </c>
      <c r="H39" s="38">
        <f t="shared" si="0"/>
        <v>0.55200000000000005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2E-3</v>
      </c>
      <c r="H41" s="36">
        <f t="shared" si="0"/>
        <v>2.4980000000000002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73">
        <v>1.7999999999999999E-2</v>
      </c>
      <c r="H42" s="38">
        <f t="shared" si="0"/>
        <v>1.5820000000000001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0.379</v>
      </c>
      <c r="H43" s="38">
        <f t="shared" si="0"/>
        <v>5.9209999999999994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6.9000000000000006E-2</v>
      </c>
      <c r="H44" s="34">
        <f t="shared" si="0"/>
        <v>3.931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1.2E-2</v>
      </c>
      <c r="H46" s="28">
        <f t="shared" si="0"/>
        <v>3.988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5.3999999999999999E-2</v>
      </c>
      <c r="H47" s="30">
        <f t="shared" si="0"/>
        <v>3.9460000000000002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8.5000000000000006E-2</v>
      </c>
      <c r="H49" s="38">
        <f t="shared" si="0"/>
        <v>0.91500000000000004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15" t="s">
        <v>48</v>
      </c>
      <c r="B52" s="115"/>
      <c r="C52" s="115"/>
      <c r="D52" s="115"/>
      <c r="E52" s="115"/>
      <c r="F52" s="115"/>
      <c r="G52" s="115"/>
      <c r="H52" s="115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41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8.6950000000000003</v>
      </c>
      <c r="H56" s="43">
        <f>F56-G56</f>
        <v>56.958499999999994</v>
      </c>
    </row>
    <row r="57" spans="1:8" x14ac:dyDescent="0.25">
      <c r="A57" s="17">
        <v>2</v>
      </c>
      <c r="B57" s="44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3</v>
      </c>
      <c r="H57" s="46">
        <f t="shared" ref="H57:H108" si="1">F57-G57</f>
        <v>85.532749999999993</v>
      </c>
    </row>
    <row r="58" spans="1:8" x14ac:dyDescent="0.25">
      <c r="A58" s="17">
        <v>3</v>
      </c>
      <c r="B58" s="44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0.55400000000000005</v>
      </c>
      <c r="H58" s="46">
        <f t="shared" si="1"/>
        <v>87.978749999999991</v>
      </c>
    </row>
    <row r="59" spans="1:8" x14ac:dyDescent="0.25">
      <c r="A59" s="17">
        <v>4</v>
      </c>
      <c r="B59" s="44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5.0979999999999999</v>
      </c>
      <c r="H59" s="46">
        <f t="shared" si="1"/>
        <v>83.434749999999994</v>
      </c>
    </row>
    <row r="60" spans="1:8" x14ac:dyDescent="0.25">
      <c r="A60" s="17">
        <v>5</v>
      </c>
      <c r="B60" s="44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2.3580000000000001</v>
      </c>
      <c r="H60" s="46">
        <f t="shared" si="1"/>
        <v>86.174749999999989</v>
      </c>
    </row>
    <row r="61" spans="1:8" x14ac:dyDescent="0.25">
      <c r="A61" s="17">
        <v>6</v>
      </c>
      <c r="B61" s="44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1.125</v>
      </c>
      <c r="H61" s="46">
        <f t="shared" si="1"/>
        <v>87.407749999999993</v>
      </c>
    </row>
    <row r="62" spans="1:8" x14ac:dyDescent="0.25">
      <c r="A62" s="17">
        <v>7</v>
      </c>
      <c r="B62" s="44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3.5190000000000001</v>
      </c>
      <c r="H62" s="46">
        <f t="shared" si="1"/>
        <v>72.081999999999994</v>
      </c>
    </row>
    <row r="63" spans="1:8" x14ac:dyDescent="0.25">
      <c r="A63" s="17">
        <v>8</v>
      </c>
      <c r="B63" s="44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6.8140000000000001</v>
      </c>
      <c r="H63" s="46">
        <f t="shared" si="1"/>
        <v>94.650499999999994</v>
      </c>
    </row>
    <row r="64" spans="1:8" x14ac:dyDescent="0.25">
      <c r="A64" s="17">
        <v>9</v>
      </c>
      <c r="B64" s="44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2.4809999999999999</v>
      </c>
      <c r="H64" s="46">
        <f t="shared" si="1"/>
        <v>98.983500000000006</v>
      </c>
    </row>
    <row r="65" spans="1:8" x14ac:dyDescent="0.25">
      <c r="A65" s="17">
        <v>10</v>
      </c>
      <c r="B65" s="44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0</v>
      </c>
      <c r="H65" s="53" t="s">
        <v>106</v>
      </c>
    </row>
    <row r="66" spans="1:8" x14ac:dyDescent="0.25">
      <c r="A66" s="18">
        <v>11</v>
      </c>
      <c r="B66" s="47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8.5999999999999993E-2</v>
      </c>
      <c r="H66" s="49">
        <f t="shared" si="1"/>
        <v>11.11575</v>
      </c>
    </row>
    <row r="67" spans="1:8" x14ac:dyDescent="0.25">
      <c r="A67" s="20"/>
      <c r="B67" s="4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41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0.06</v>
      </c>
      <c r="H68" s="43">
        <f t="shared" si="1"/>
        <v>75.540999999999997</v>
      </c>
    </row>
    <row r="69" spans="1:8" x14ac:dyDescent="0.25">
      <c r="A69" s="17">
        <v>13</v>
      </c>
      <c r="B69" s="44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47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1.046</v>
      </c>
      <c r="H70" s="49">
        <f t="shared" si="1"/>
        <v>74.554999999999993</v>
      </c>
    </row>
    <row r="71" spans="1:8" x14ac:dyDescent="0.25">
      <c r="A71" s="20"/>
      <c r="B71" s="4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41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1.7450000000000001</v>
      </c>
      <c r="H72" s="43">
        <f t="shared" si="1"/>
        <v>99.719499999999996</v>
      </c>
    </row>
    <row r="73" spans="1:8" x14ac:dyDescent="0.25">
      <c r="A73" s="18">
        <v>16</v>
      </c>
      <c r="B73" s="47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1.5229999999999999</v>
      </c>
      <c r="H73" s="49">
        <f t="shared" si="1"/>
        <v>15.43965</v>
      </c>
    </row>
    <row r="74" spans="1:8" x14ac:dyDescent="0.25">
      <c r="A74" s="20"/>
      <c r="B74" s="4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41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3.1E-2</v>
      </c>
      <c r="H75" s="43">
        <f t="shared" si="1"/>
        <v>21.092300000000005</v>
      </c>
    </row>
    <row r="76" spans="1:8" x14ac:dyDescent="0.25">
      <c r="A76" s="17">
        <v>18</v>
      </c>
      <c r="B76" s="44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1.538</v>
      </c>
      <c r="H76" s="46">
        <f t="shared" si="1"/>
        <v>15.42465</v>
      </c>
    </row>
    <row r="77" spans="1:8" x14ac:dyDescent="0.25">
      <c r="A77" s="17">
        <v>19</v>
      </c>
      <c r="B77" s="44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44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47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7.9000000000000001E-2</v>
      </c>
      <c r="H79" s="49">
        <f t="shared" si="1"/>
        <v>21.044300000000003</v>
      </c>
    </row>
    <row r="80" spans="1:8" x14ac:dyDescent="0.25">
      <c r="A80" s="20"/>
      <c r="B80" s="4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5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4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5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4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41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2.4E-2</v>
      </c>
      <c r="H85" s="43">
        <f t="shared" si="1"/>
        <v>75.576999999999998</v>
      </c>
    </row>
    <row r="86" spans="1:8" x14ac:dyDescent="0.25">
      <c r="A86" s="17">
        <v>25</v>
      </c>
      <c r="B86" s="44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6.3120000000000003</v>
      </c>
      <c r="H86" s="46">
        <f t="shared" si="1"/>
        <v>95.152500000000003</v>
      </c>
    </row>
    <row r="87" spans="1:8" x14ac:dyDescent="0.25">
      <c r="A87" s="18">
        <v>26</v>
      </c>
      <c r="B87" s="47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1.242</v>
      </c>
      <c r="H87" s="49">
        <f t="shared" si="1"/>
        <v>12.200099999999999</v>
      </c>
    </row>
    <row r="88" spans="1:8" x14ac:dyDescent="0.25">
      <c r="A88" s="20"/>
      <c r="B88" s="4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41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4.968</v>
      </c>
      <c r="H89" s="43">
        <f t="shared" si="1"/>
        <v>70.632999999999996</v>
      </c>
    </row>
    <row r="90" spans="1:8" x14ac:dyDescent="0.25">
      <c r="A90" s="18">
        <v>28</v>
      </c>
      <c r="B90" s="47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0</v>
      </c>
      <c r="H90" s="77" t="s">
        <v>106</v>
      </c>
    </row>
    <row r="91" spans="1:8" x14ac:dyDescent="0.25">
      <c r="A91" s="20"/>
      <c r="B91" s="4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5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0.12</v>
      </c>
      <c r="H92" s="52">
        <f t="shared" si="1"/>
        <v>16.842649999999999</v>
      </c>
    </row>
    <row r="93" spans="1:8" x14ac:dyDescent="0.25">
      <c r="A93" s="20"/>
      <c r="B93" s="4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5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0.438</v>
      </c>
      <c r="H94" s="52">
        <f t="shared" si="1"/>
        <v>16.524650000000001</v>
      </c>
    </row>
    <row r="95" spans="1:8" x14ac:dyDescent="0.25">
      <c r="A95" s="20"/>
      <c r="B95" s="4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41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79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47" t="s">
        <v>93</v>
      </c>
      <c r="C97" s="25">
        <v>38.6</v>
      </c>
      <c r="D97" s="68">
        <v>95</v>
      </c>
      <c r="E97" s="48">
        <v>35</v>
      </c>
      <c r="F97" s="49">
        <f>1.73*37*330/1000</f>
        <v>21.123300000000004</v>
      </c>
      <c r="G97" s="55">
        <v>1.7999999999999999E-2</v>
      </c>
      <c r="H97" s="49">
        <f t="shared" si="1"/>
        <v>21.105300000000003</v>
      </c>
    </row>
    <row r="98" spans="1:8" x14ac:dyDescent="0.25">
      <c r="A98" s="20"/>
      <c r="B98" s="40" t="s">
        <v>94</v>
      </c>
      <c r="C98" s="26"/>
      <c r="D98" s="69"/>
      <c r="E98" s="40"/>
      <c r="F98" s="50"/>
      <c r="G98" s="32"/>
      <c r="H98" s="50"/>
    </row>
    <row r="99" spans="1:8" x14ac:dyDescent="0.25">
      <c r="A99" s="20">
        <v>33</v>
      </c>
      <c r="B99" s="5" t="s">
        <v>95</v>
      </c>
      <c r="C99" s="26">
        <v>17.7</v>
      </c>
      <c r="D99" s="69">
        <v>70</v>
      </c>
      <c r="E99" s="51">
        <v>35</v>
      </c>
      <c r="F99" s="52">
        <f>1.73*37*265/1000</f>
        <v>16.96265</v>
      </c>
      <c r="G99" s="73">
        <v>8.0000000000000002E-3</v>
      </c>
      <c r="H99" s="52">
        <f t="shared" si="1"/>
        <v>16.954650000000001</v>
      </c>
    </row>
    <row r="100" spans="1:8" x14ac:dyDescent="0.25">
      <c r="A100" s="20"/>
      <c r="B100" s="40" t="s">
        <v>96</v>
      </c>
      <c r="C100" s="26"/>
      <c r="D100" s="69"/>
      <c r="E100" s="40"/>
      <c r="F100" s="50"/>
      <c r="G100" s="32"/>
      <c r="H100" s="50"/>
    </row>
    <row r="101" spans="1:8" x14ac:dyDescent="0.25">
      <c r="A101" s="20">
        <v>34</v>
      </c>
      <c r="B101" s="5" t="s">
        <v>97</v>
      </c>
      <c r="C101" s="26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0.47499999999999998</v>
      </c>
      <c r="H101" s="52">
        <f t="shared" si="1"/>
        <v>20.648300000000003</v>
      </c>
    </row>
    <row r="102" spans="1:8" x14ac:dyDescent="0.25">
      <c r="A102" s="20"/>
      <c r="B102" s="40" t="s">
        <v>98</v>
      </c>
      <c r="C102" s="26"/>
      <c r="D102" s="69"/>
      <c r="E102" s="40"/>
      <c r="F102" s="50"/>
      <c r="G102" s="32"/>
      <c r="H102" s="50"/>
    </row>
    <row r="103" spans="1:8" x14ac:dyDescent="0.25">
      <c r="A103" s="16">
        <v>35</v>
      </c>
      <c r="B103" s="41" t="s">
        <v>99</v>
      </c>
      <c r="C103" s="23">
        <v>28.96</v>
      </c>
      <c r="D103" s="70">
        <v>70</v>
      </c>
      <c r="E103" s="42">
        <v>35</v>
      </c>
      <c r="F103" s="43">
        <f>1.73*37*265/1000</f>
        <v>16.96265</v>
      </c>
      <c r="G103" s="28">
        <v>4.2999999999999997E-2</v>
      </c>
      <c r="H103" s="43">
        <f t="shared" si="1"/>
        <v>16.919650000000001</v>
      </c>
    </row>
    <row r="104" spans="1:8" x14ac:dyDescent="0.25">
      <c r="A104" s="17">
        <v>36</v>
      </c>
      <c r="B104" s="44" t="s">
        <v>100</v>
      </c>
      <c r="C104" s="24">
        <v>15</v>
      </c>
      <c r="D104" s="71">
        <v>70</v>
      </c>
      <c r="E104" s="45">
        <v>35</v>
      </c>
      <c r="F104" s="46">
        <f>1.73*37*265/1000</f>
        <v>16.96265</v>
      </c>
      <c r="G104" s="29">
        <v>0.106</v>
      </c>
      <c r="H104" s="46">
        <f t="shared" si="1"/>
        <v>16.856649999999998</v>
      </c>
    </row>
    <row r="105" spans="1:8" x14ac:dyDescent="0.25">
      <c r="A105" s="18">
        <v>37</v>
      </c>
      <c r="B105" s="47" t="s">
        <v>101</v>
      </c>
      <c r="C105" s="25">
        <v>35.26</v>
      </c>
      <c r="D105" s="68">
        <v>70</v>
      </c>
      <c r="E105" s="48">
        <v>35</v>
      </c>
      <c r="F105" s="49">
        <f>1.73*37*265/1000</f>
        <v>16.96265</v>
      </c>
      <c r="G105" s="30">
        <v>0.38200000000000001</v>
      </c>
      <c r="H105" s="49">
        <f t="shared" si="1"/>
        <v>16.580649999999999</v>
      </c>
    </row>
    <row r="106" spans="1:8" x14ac:dyDescent="0.25">
      <c r="A106" s="20"/>
      <c r="B106" s="40" t="s">
        <v>102</v>
      </c>
      <c r="C106" s="26"/>
      <c r="D106" s="69"/>
      <c r="E106" s="40"/>
      <c r="F106" s="50"/>
      <c r="G106" s="32"/>
      <c r="H106" s="50"/>
    </row>
    <row r="107" spans="1:8" x14ac:dyDescent="0.25">
      <c r="A107" s="16">
        <v>38</v>
      </c>
      <c r="B107" s="41" t="s">
        <v>103</v>
      </c>
      <c r="C107" s="23">
        <v>40.75</v>
      </c>
      <c r="D107" s="70">
        <v>70</v>
      </c>
      <c r="E107" s="42">
        <v>35</v>
      </c>
      <c r="F107" s="43">
        <f>1.73*37*265/1000</f>
        <v>16.96265</v>
      </c>
      <c r="G107" s="28">
        <v>0.156</v>
      </c>
      <c r="H107" s="43">
        <f t="shared" si="1"/>
        <v>16.806650000000001</v>
      </c>
    </row>
    <row r="108" spans="1:8" x14ac:dyDescent="0.25">
      <c r="A108" s="18">
        <v>39</v>
      </c>
      <c r="B108" s="47" t="s">
        <v>104</v>
      </c>
      <c r="C108" s="25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0.13100000000000001</v>
      </c>
      <c r="H108" s="49">
        <f t="shared" si="1"/>
        <v>24.192800000000002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workbookViewId="0">
      <selection activeCell="A4" sqref="A4:H4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5" t="s">
        <v>1</v>
      </c>
      <c r="B2" s="115"/>
      <c r="C2" s="115"/>
      <c r="D2" s="115"/>
      <c r="E2" s="115"/>
      <c r="F2" s="115"/>
      <c r="G2" s="115"/>
      <c r="H2" s="115"/>
    </row>
    <row r="4" spans="1:8" x14ac:dyDescent="0.25">
      <c r="A4" s="115" t="s">
        <v>2</v>
      </c>
      <c r="B4" s="115"/>
      <c r="C4" s="115"/>
      <c r="D4" s="115"/>
      <c r="E4" s="115"/>
      <c r="F4" s="115"/>
      <c r="G4" s="115"/>
      <c r="H4" s="115"/>
    </row>
    <row r="6" spans="1:8" x14ac:dyDescent="0.25">
      <c r="A6" s="115" t="s">
        <v>3</v>
      </c>
      <c r="B6" s="115"/>
      <c r="C6" s="115"/>
      <c r="D6" s="115"/>
      <c r="E6" s="115"/>
      <c r="F6" s="115"/>
      <c r="G6" s="115"/>
      <c r="H6" s="115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55">
        <v>0.03</v>
      </c>
      <c r="H11" s="36">
        <f>F11/1000-G11</f>
        <v>2.4700000000000002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2.72</v>
      </c>
      <c r="H12" s="34">
        <f t="shared" ref="H12:H49" si="0">F12/1000-G12</f>
        <v>13.28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1.32</v>
      </c>
      <c r="H13" s="36">
        <f t="shared" si="0"/>
        <v>14.68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78">
        <v>2.9000000000000001E-2</v>
      </c>
      <c r="H14" s="37">
        <f t="shared" si="0"/>
        <v>9.9710000000000001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73">
        <v>1.2999999999999999E-2</v>
      </c>
      <c r="H15" s="38">
        <f t="shared" si="0"/>
        <v>9.9870000000000001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1.62</v>
      </c>
      <c r="H16" s="34">
        <f t="shared" si="0"/>
        <v>38.380000000000003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1.0589999999999999</v>
      </c>
      <c r="H17" s="36">
        <f t="shared" si="0"/>
        <v>4.5409999999999995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1.4999999999999999E-2</v>
      </c>
      <c r="H18" s="35">
        <f>F18/1000-G18</f>
        <v>19.984999999999999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0.52</v>
      </c>
      <c r="H19" s="35">
        <f t="shared" si="0"/>
        <v>19.48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0.46200000000000002</v>
      </c>
      <c r="H20" s="36">
        <f t="shared" si="0"/>
        <v>9.5380000000000003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0</v>
      </c>
      <c r="H21" s="34" t="s">
        <v>106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0.14399999999999999</v>
      </c>
      <c r="H22" s="30">
        <f t="shared" si="0"/>
        <v>15.856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5.2999999999999999E-2</v>
      </c>
      <c r="H23" s="38">
        <f t="shared" si="0"/>
        <v>2.4470000000000001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0.66100000000000003</v>
      </c>
      <c r="H25" s="36">
        <f t="shared" si="0"/>
        <v>5.6389999999999993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79">
        <v>1.0449999999999999</v>
      </c>
      <c r="H26" s="79">
        <f t="shared" si="0"/>
        <v>14.955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55">
        <v>5.5E-2</v>
      </c>
      <c r="H27" s="55">
        <f t="shared" si="0"/>
        <v>15.945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2.1000000000000001E-2</v>
      </c>
      <c r="H28" s="38">
        <f t="shared" si="0"/>
        <v>2.4790000000000001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0.05</v>
      </c>
      <c r="H29" s="38">
        <f t="shared" si="0"/>
        <v>2.4500000000000002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0.48799999999999999</v>
      </c>
      <c r="H30" s="34">
        <f t="shared" si="0"/>
        <v>39.512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8.6910000000000007</v>
      </c>
      <c r="H31" s="36">
        <f>F31/1000-G31</f>
        <v>11.308999999999999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0.78400000000000003</v>
      </c>
      <c r="H32" s="28">
        <f t="shared" si="0"/>
        <v>9.2159999999999993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0</v>
      </c>
      <c r="H33" s="36" t="s">
        <v>106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0.09</v>
      </c>
      <c r="H34" s="38">
        <f t="shared" si="0"/>
        <v>6.21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8.7999999999999995E-2</v>
      </c>
      <c r="H37" s="34">
        <f t="shared" si="0"/>
        <v>5.5119999999999996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8.0000000000000002E-3</v>
      </c>
      <c r="H39" s="38">
        <f t="shared" si="0"/>
        <v>0.55200000000000005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3.0000000000000001E-3</v>
      </c>
      <c r="H41" s="36">
        <f t="shared" si="0"/>
        <v>2.4969999999999999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73">
        <v>1.7000000000000001E-2</v>
      </c>
      <c r="H42" s="38">
        <f t="shared" si="0"/>
        <v>1.5830000000000002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0.20200000000000001</v>
      </c>
      <c r="H43" s="38">
        <f t="shared" si="0"/>
        <v>6.0979999999999999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0.23</v>
      </c>
      <c r="H44" s="34">
        <f t="shared" si="0"/>
        <v>3.77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0</v>
      </c>
      <c r="H46" s="28" t="s">
        <v>106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0.13500000000000001</v>
      </c>
      <c r="H47" s="30">
        <f t="shared" si="0"/>
        <v>3.8650000000000002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0.10299999999999999</v>
      </c>
      <c r="H49" s="38">
        <f t="shared" si="0"/>
        <v>0.89700000000000002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15" t="s">
        <v>48</v>
      </c>
      <c r="B52" s="115"/>
      <c r="C52" s="115"/>
      <c r="D52" s="115"/>
      <c r="E52" s="115"/>
      <c r="F52" s="115"/>
      <c r="G52" s="115"/>
      <c r="H52" s="115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9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0.38900000000000001</v>
      </c>
      <c r="H56" s="43">
        <f>F56-G56</f>
        <v>65.264499999999998</v>
      </c>
    </row>
    <row r="57" spans="1:8" x14ac:dyDescent="0.25">
      <c r="A57" s="17">
        <v>2</v>
      </c>
      <c r="B57" s="10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3.4540000000000002</v>
      </c>
      <c r="H57" s="46">
        <f t="shared" ref="H57:H108" si="1">F57-G57</f>
        <v>85.078749999999999</v>
      </c>
    </row>
    <row r="58" spans="1:8" x14ac:dyDescent="0.25">
      <c r="A58" s="17">
        <v>3</v>
      </c>
      <c r="B58" s="10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0.55300000000000005</v>
      </c>
      <c r="H58" s="46">
        <f t="shared" si="1"/>
        <v>87.979749999999996</v>
      </c>
    </row>
    <row r="59" spans="1:8" x14ac:dyDescent="0.25">
      <c r="A59" s="17">
        <v>4</v>
      </c>
      <c r="B59" s="10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4.3319999999999999</v>
      </c>
      <c r="H59" s="46">
        <f t="shared" si="1"/>
        <v>84.200749999999999</v>
      </c>
    </row>
    <row r="60" spans="1:8" x14ac:dyDescent="0.25">
      <c r="A60" s="17">
        <v>5</v>
      </c>
      <c r="B60" s="10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3.222</v>
      </c>
      <c r="H60" s="46">
        <f t="shared" si="1"/>
        <v>85.310749999999999</v>
      </c>
    </row>
    <row r="61" spans="1:8" x14ac:dyDescent="0.25">
      <c r="A61" s="17">
        <v>6</v>
      </c>
      <c r="B61" s="10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1.0660000000000001</v>
      </c>
      <c r="H61" s="46">
        <f t="shared" si="1"/>
        <v>87.46674999999999</v>
      </c>
    </row>
    <row r="62" spans="1:8" x14ac:dyDescent="0.25">
      <c r="A62" s="17">
        <v>7</v>
      </c>
      <c r="B62" s="10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2.8879999999999999</v>
      </c>
      <c r="H62" s="46">
        <f t="shared" si="1"/>
        <v>72.712999999999994</v>
      </c>
    </row>
    <row r="63" spans="1:8" x14ac:dyDescent="0.25">
      <c r="A63" s="17">
        <v>8</v>
      </c>
      <c r="B63" s="10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8.375</v>
      </c>
      <c r="H63" s="46">
        <f t="shared" si="1"/>
        <v>93.089500000000001</v>
      </c>
    </row>
    <row r="64" spans="1:8" x14ac:dyDescent="0.25">
      <c r="A64" s="17">
        <v>9</v>
      </c>
      <c r="B64" s="10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2.9849999999999999</v>
      </c>
      <c r="H64" s="46">
        <f t="shared" si="1"/>
        <v>98.479500000000002</v>
      </c>
    </row>
    <row r="65" spans="1:8" x14ac:dyDescent="0.25">
      <c r="A65" s="17">
        <v>10</v>
      </c>
      <c r="B65" s="10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9.2040000000000006</v>
      </c>
      <c r="H65" s="46">
        <f>F65-G65</f>
        <v>66.396999999999991</v>
      </c>
    </row>
    <row r="66" spans="1:8" x14ac:dyDescent="0.25">
      <c r="A66" s="18">
        <v>11</v>
      </c>
      <c r="B66" s="12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0.17299999999999999</v>
      </c>
      <c r="H66" s="49">
        <f t="shared" si="1"/>
        <v>11.02875</v>
      </c>
    </row>
    <row r="67" spans="1:8" x14ac:dyDescent="0.25">
      <c r="A67" s="20"/>
      <c r="B67" s="8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9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0.06</v>
      </c>
      <c r="H68" s="43">
        <f t="shared" si="1"/>
        <v>75.540999999999997</v>
      </c>
    </row>
    <row r="69" spans="1:8" x14ac:dyDescent="0.25">
      <c r="A69" s="17">
        <v>13</v>
      </c>
      <c r="B69" s="10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12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0.73399999999999999</v>
      </c>
      <c r="H70" s="49">
        <f t="shared" si="1"/>
        <v>74.867000000000004</v>
      </c>
    </row>
    <row r="71" spans="1:8" x14ac:dyDescent="0.25">
      <c r="A71" s="20"/>
      <c r="B71" s="8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9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2.8490000000000002</v>
      </c>
      <c r="H72" s="43">
        <f t="shared" si="1"/>
        <v>98.615499999999997</v>
      </c>
    </row>
    <row r="73" spans="1:8" x14ac:dyDescent="0.25">
      <c r="A73" s="18">
        <v>16</v>
      </c>
      <c r="B73" s="12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1.4139999999999999</v>
      </c>
      <c r="H73" s="49">
        <f t="shared" si="1"/>
        <v>15.54865</v>
      </c>
    </row>
    <row r="74" spans="1:8" x14ac:dyDescent="0.25">
      <c r="A74" s="20"/>
      <c r="B74" s="8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9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3.1E-2</v>
      </c>
      <c r="H75" s="43">
        <f t="shared" si="1"/>
        <v>21.092300000000005</v>
      </c>
    </row>
    <row r="76" spans="1:8" x14ac:dyDescent="0.25">
      <c r="A76" s="17">
        <v>18</v>
      </c>
      <c r="B76" s="10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1.407</v>
      </c>
      <c r="H76" s="46">
        <f t="shared" si="1"/>
        <v>15.55565</v>
      </c>
    </row>
    <row r="77" spans="1:8" x14ac:dyDescent="0.25">
      <c r="A77" s="17">
        <v>19</v>
      </c>
      <c r="B77" s="10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10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12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7.0000000000000007E-2</v>
      </c>
      <c r="H79" s="49">
        <f t="shared" si="1"/>
        <v>21.053300000000004</v>
      </c>
    </row>
    <row r="80" spans="1:8" x14ac:dyDescent="0.25">
      <c r="A80" s="20"/>
      <c r="B80" s="8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4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8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4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8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9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0.89700000000000002</v>
      </c>
      <c r="H85" s="43">
        <f t="shared" si="1"/>
        <v>74.703999999999994</v>
      </c>
    </row>
    <row r="86" spans="1:8" x14ac:dyDescent="0.25">
      <c r="A86" s="17">
        <v>25</v>
      </c>
      <c r="B86" s="10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5.9530000000000003</v>
      </c>
      <c r="H86" s="46">
        <f t="shared" si="1"/>
        <v>95.511499999999998</v>
      </c>
    </row>
    <row r="87" spans="1:8" x14ac:dyDescent="0.25">
      <c r="A87" s="18">
        <v>26</v>
      </c>
      <c r="B87" s="12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1.302</v>
      </c>
      <c r="H87" s="49">
        <f t="shared" si="1"/>
        <v>12.1401</v>
      </c>
    </row>
    <row r="88" spans="1:8" x14ac:dyDescent="0.25">
      <c r="A88" s="20"/>
      <c r="B88" s="8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9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5.2130000000000001</v>
      </c>
      <c r="H89" s="43">
        <f t="shared" si="1"/>
        <v>70.388000000000005</v>
      </c>
    </row>
    <row r="90" spans="1:8" x14ac:dyDescent="0.25">
      <c r="A90" s="18">
        <v>28</v>
      </c>
      <c r="B90" s="12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0</v>
      </c>
      <c r="H90" s="77" t="s">
        <v>106</v>
      </c>
    </row>
    <row r="91" spans="1:8" x14ac:dyDescent="0.25">
      <c r="A91" s="20"/>
      <c r="B91" s="8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4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0.13400000000000001</v>
      </c>
      <c r="H92" s="52">
        <f t="shared" si="1"/>
        <v>16.82865</v>
      </c>
    </row>
    <row r="93" spans="1:8" x14ac:dyDescent="0.25">
      <c r="A93" s="20"/>
      <c r="B93" s="8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4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0.60599999999999998</v>
      </c>
      <c r="H94" s="52">
        <f t="shared" si="1"/>
        <v>16.356649999999998</v>
      </c>
    </row>
    <row r="95" spans="1:8" x14ac:dyDescent="0.25">
      <c r="A95" s="20"/>
      <c r="B95" s="8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9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79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12" t="s">
        <v>93</v>
      </c>
      <c r="C97" s="81">
        <v>38.6</v>
      </c>
      <c r="D97" s="68">
        <v>95</v>
      </c>
      <c r="E97" s="48">
        <v>35</v>
      </c>
      <c r="F97" s="49">
        <f>1.73*37*330/1000</f>
        <v>21.123300000000004</v>
      </c>
      <c r="G97" s="55">
        <v>1.7999999999999999E-2</v>
      </c>
      <c r="H97" s="49">
        <f t="shared" si="1"/>
        <v>21.105300000000003</v>
      </c>
    </row>
    <row r="98" spans="1:8" x14ac:dyDescent="0.25">
      <c r="A98" s="20"/>
      <c r="B98" s="80" t="s">
        <v>94</v>
      </c>
      <c r="C98" s="82"/>
      <c r="D98" s="69"/>
      <c r="E98" s="40"/>
      <c r="F98" s="50"/>
      <c r="G98" s="32"/>
      <c r="H98" s="50"/>
    </row>
    <row r="99" spans="1:8" x14ac:dyDescent="0.25">
      <c r="A99" s="20">
        <v>33</v>
      </c>
      <c r="B99" s="4" t="s">
        <v>95</v>
      </c>
      <c r="C99" s="82">
        <v>17.7</v>
      </c>
      <c r="D99" s="69">
        <v>70</v>
      </c>
      <c r="E99" s="51">
        <v>35</v>
      </c>
      <c r="F99" s="52">
        <f>1.73*37*265/1000</f>
        <v>16.96265</v>
      </c>
      <c r="G99" s="73">
        <v>8.0000000000000002E-3</v>
      </c>
      <c r="H99" s="52">
        <f t="shared" si="1"/>
        <v>16.954650000000001</v>
      </c>
    </row>
    <row r="100" spans="1:8" x14ac:dyDescent="0.25">
      <c r="A100" s="20"/>
      <c r="B100" s="80" t="s">
        <v>96</v>
      </c>
      <c r="C100" s="82"/>
      <c r="D100" s="69"/>
      <c r="E100" s="40"/>
      <c r="F100" s="50"/>
      <c r="G100" s="32"/>
      <c r="H100" s="50"/>
    </row>
    <row r="101" spans="1:8" x14ac:dyDescent="0.25">
      <c r="A101" s="20">
        <v>34</v>
      </c>
      <c r="B101" s="4" t="s">
        <v>97</v>
      </c>
      <c r="C101" s="82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0.46</v>
      </c>
      <c r="H101" s="52">
        <f t="shared" si="1"/>
        <v>20.663300000000003</v>
      </c>
    </row>
    <row r="102" spans="1:8" x14ac:dyDescent="0.25">
      <c r="A102" s="20"/>
      <c r="B102" s="80" t="s">
        <v>98</v>
      </c>
      <c r="C102" s="82"/>
      <c r="D102" s="69"/>
      <c r="E102" s="40"/>
      <c r="F102" s="50"/>
      <c r="G102" s="32"/>
      <c r="H102" s="50"/>
    </row>
    <row r="103" spans="1:8" x14ac:dyDescent="0.25">
      <c r="A103" s="16">
        <v>35</v>
      </c>
      <c r="B103" s="9" t="s">
        <v>99</v>
      </c>
      <c r="C103" s="83">
        <v>28.96</v>
      </c>
      <c r="D103" s="70">
        <v>70</v>
      </c>
      <c r="E103" s="42">
        <v>35</v>
      </c>
      <c r="F103" s="43">
        <f>1.73*37*265/1000</f>
        <v>16.96265</v>
      </c>
      <c r="G103" s="28">
        <v>3.5999999999999997E-2</v>
      </c>
      <c r="H103" s="43">
        <f t="shared" si="1"/>
        <v>16.926649999999999</v>
      </c>
    </row>
    <row r="104" spans="1:8" x14ac:dyDescent="0.25">
      <c r="A104" s="17">
        <v>36</v>
      </c>
      <c r="B104" s="10" t="s">
        <v>100</v>
      </c>
      <c r="C104" s="84">
        <v>15</v>
      </c>
      <c r="D104" s="71">
        <v>70</v>
      </c>
      <c r="E104" s="45">
        <v>35</v>
      </c>
      <c r="F104" s="46">
        <f>1.73*37*265/1000</f>
        <v>16.96265</v>
      </c>
      <c r="G104" s="29">
        <v>0.08</v>
      </c>
      <c r="H104" s="46">
        <f t="shared" si="1"/>
        <v>16.882650000000002</v>
      </c>
    </row>
    <row r="105" spans="1:8" x14ac:dyDescent="0.25">
      <c r="A105" s="18">
        <v>37</v>
      </c>
      <c r="B105" s="12" t="s">
        <v>101</v>
      </c>
      <c r="C105" s="81">
        <v>35.26</v>
      </c>
      <c r="D105" s="68">
        <v>70</v>
      </c>
      <c r="E105" s="48">
        <v>35</v>
      </c>
      <c r="F105" s="49">
        <f>1.73*37*265/1000</f>
        <v>16.96265</v>
      </c>
      <c r="G105" s="30">
        <v>0.28000000000000003</v>
      </c>
      <c r="H105" s="49">
        <f t="shared" si="1"/>
        <v>16.682649999999999</v>
      </c>
    </row>
    <row r="106" spans="1:8" x14ac:dyDescent="0.25">
      <c r="A106" s="20"/>
      <c r="B106" s="80" t="s">
        <v>102</v>
      </c>
      <c r="C106" s="82"/>
      <c r="D106" s="69"/>
      <c r="E106" s="40"/>
      <c r="F106" s="50"/>
      <c r="G106" s="32"/>
      <c r="H106" s="50"/>
    </row>
    <row r="107" spans="1:8" x14ac:dyDescent="0.25">
      <c r="A107" s="16">
        <v>38</v>
      </c>
      <c r="B107" s="9" t="s">
        <v>103</v>
      </c>
      <c r="C107" s="83">
        <v>40.75</v>
      </c>
      <c r="D107" s="70">
        <v>70</v>
      </c>
      <c r="E107" s="42">
        <v>35</v>
      </c>
      <c r="F107" s="43">
        <f>1.73*37*265/1000</f>
        <v>16.96265</v>
      </c>
      <c r="G107" s="28">
        <v>0.16200000000000001</v>
      </c>
      <c r="H107" s="43">
        <f t="shared" si="1"/>
        <v>16.800650000000001</v>
      </c>
    </row>
    <row r="108" spans="1:8" x14ac:dyDescent="0.25">
      <c r="A108" s="18">
        <v>39</v>
      </c>
      <c r="B108" s="12" t="s">
        <v>104</v>
      </c>
      <c r="C108" s="81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0.113</v>
      </c>
      <c r="H108" s="49">
        <f t="shared" si="1"/>
        <v>24.210800000000003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7"/>
  <sheetViews>
    <sheetView workbookViewId="0">
      <selection activeCell="A2" sqref="A2:H2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11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11" x14ac:dyDescent="0.25">
      <c r="A2" s="115" t="s">
        <v>1</v>
      </c>
      <c r="B2" s="115"/>
      <c r="C2" s="115"/>
      <c r="D2" s="115"/>
      <c r="E2" s="115"/>
      <c r="F2" s="115"/>
      <c r="G2" s="115"/>
      <c r="H2" s="115"/>
    </row>
    <row r="4" spans="1:11" x14ac:dyDescent="0.25">
      <c r="A4" s="115" t="s">
        <v>2</v>
      </c>
      <c r="B4" s="115"/>
      <c r="C4" s="115"/>
      <c r="D4" s="115"/>
      <c r="E4" s="115"/>
      <c r="F4" s="115"/>
      <c r="G4" s="115"/>
      <c r="H4" s="115"/>
    </row>
    <row r="6" spans="1:11" x14ac:dyDescent="0.25">
      <c r="A6" s="116" t="s">
        <v>3</v>
      </c>
      <c r="B6" s="116"/>
      <c r="C6" s="116"/>
      <c r="D6" s="116"/>
      <c r="E6" s="116"/>
      <c r="F6" s="116"/>
      <c r="G6" s="116"/>
      <c r="H6" s="116"/>
      <c r="I6" s="85"/>
      <c r="J6" s="85"/>
      <c r="K6" s="85"/>
    </row>
    <row r="7" spans="1:11" x14ac:dyDescent="0.25">
      <c r="A7" s="86"/>
      <c r="B7" s="85"/>
      <c r="C7" s="85"/>
      <c r="D7" s="85"/>
      <c r="E7" s="86"/>
      <c r="F7" s="85"/>
      <c r="G7" s="87"/>
      <c r="H7" s="88"/>
      <c r="I7" s="85"/>
      <c r="J7" s="85"/>
      <c r="K7" s="85"/>
    </row>
    <row r="8" spans="1:11" s="2" customFormat="1" ht="47.25" x14ac:dyDescent="0.25">
      <c r="A8" s="76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89" t="s">
        <v>128</v>
      </c>
      <c r="H8" s="89" t="s">
        <v>10</v>
      </c>
      <c r="I8" s="90"/>
      <c r="J8" s="90"/>
      <c r="K8" s="90"/>
    </row>
    <row r="9" spans="1:11" x14ac:dyDescent="0.25">
      <c r="A9" s="91">
        <v>1</v>
      </c>
      <c r="B9" s="9" t="s">
        <v>11</v>
      </c>
      <c r="C9" s="14" t="s">
        <v>12</v>
      </c>
      <c r="D9" s="14" t="s">
        <v>110</v>
      </c>
      <c r="E9" s="91" t="s">
        <v>40</v>
      </c>
      <c r="F9" s="14">
        <v>25000</v>
      </c>
      <c r="G9" s="79">
        <v>0</v>
      </c>
      <c r="H9" s="92" t="s">
        <v>106</v>
      </c>
      <c r="I9" s="85"/>
      <c r="J9" s="85"/>
      <c r="K9" s="85"/>
    </row>
    <row r="10" spans="1:11" x14ac:dyDescent="0.25">
      <c r="A10" s="93"/>
      <c r="B10" s="10"/>
      <c r="C10" s="11" t="s">
        <v>13</v>
      </c>
      <c r="D10" s="11" t="s">
        <v>110</v>
      </c>
      <c r="E10" s="93" t="s">
        <v>40</v>
      </c>
      <c r="F10" s="11">
        <v>25000</v>
      </c>
      <c r="G10" s="94">
        <v>0</v>
      </c>
      <c r="H10" s="95" t="s">
        <v>106</v>
      </c>
      <c r="I10" s="85"/>
      <c r="J10" s="85"/>
      <c r="K10" s="85"/>
    </row>
    <row r="11" spans="1:11" x14ac:dyDescent="0.25">
      <c r="A11" s="96"/>
      <c r="B11" s="12"/>
      <c r="C11" s="13" t="s">
        <v>14</v>
      </c>
      <c r="D11" s="13" t="s">
        <v>110</v>
      </c>
      <c r="E11" s="96" t="s">
        <v>41</v>
      </c>
      <c r="F11" s="13">
        <v>2500</v>
      </c>
      <c r="G11" s="79">
        <f>22953/744000</f>
        <v>3.0850806451612905E-2</v>
      </c>
      <c r="H11" s="97">
        <f>F11/1000-G11</f>
        <v>2.4691491935483869</v>
      </c>
      <c r="I11" s="85"/>
      <c r="J11" s="85"/>
      <c r="K11" s="85"/>
    </row>
    <row r="12" spans="1:11" x14ac:dyDescent="0.25">
      <c r="A12" s="91">
        <v>2</v>
      </c>
      <c r="B12" s="9" t="s">
        <v>15</v>
      </c>
      <c r="C12" s="14" t="s">
        <v>12</v>
      </c>
      <c r="D12" s="14" t="s">
        <v>111</v>
      </c>
      <c r="E12" s="91" t="s">
        <v>43</v>
      </c>
      <c r="F12" s="14">
        <v>16000</v>
      </c>
      <c r="G12" s="79">
        <f>(1890780+333144)/744000</f>
        <v>2.9891451612903226</v>
      </c>
      <c r="H12" s="92">
        <f t="shared" ref="H12:H49" si="0">F12/1000-G12</f>
        <v>13.010854838709678</v>
      </c>
      <c r="I12" s="85"/>
      <c r="J12" s="85"/>
      <c r="K12" s="85"/>
    </row>
    <row r="13" spans="1:11" x14ac:dyDescent="0.25">
      <c r="A13" s="96"/>
      <c r="B13" s="12"/>
      <c r="C13" s="13" t="s">
        <v>13</v>
      </c>
      <c r="D13" s="13" t="s">
        <v>111</v>
      </c>
      <c r="E13" s="96" t="s">
        <v>43</v>
      </c>
      <c r="F13" s="13">
        <v>16000</v>
      </c>
      <c r="G13" s="55">
        <f>(8904+636600)/744000</f>
        <v>0.86761290322580642</v>
      </c>
      <c r="H13" s="97">
        <f t="shared" si="0"/>
        <v>15.132387096774194</v>
      </c>
      <c r="I13" s="85"/>
      <c r="J13" s="85"/>
      <c r="K13" s="85"/>
    </row>
    <row r="14" spans="1:11" x14ac:dyDescent="0.25">
      <c r="A14" s="98">
        <v>3</v>
      </c>
      <c r="B14" s="7" t="s">
        <v>16</v>
      </c>
      <c r="C14" s="72" t="s">
        <v>12</v>
      </c>
      <c r="D14" s="15" t="s">
        <v>110</v>
      </c>
      <c r="E14" s="98" t="s">
        <v>43</v>
      </c>
      <c r="F14" s="15">
        <v>10000</v>
      </c>
      <c r="G14" s="78">
        <f>18120/744000</f>
        <v>2.4354838709677418E-2</v>
      </c>
      <c r="H14" s="99">
        <f t="shared" si="0"/>
        <v>9.9756451612903234</v>
      </c>
      <c r="I14" s="85"/>
      <c r="J14" s="85"/>
      <c r="K14" s="85"/>
    </row>
    <row r="15" spans="1:11" x14ac:dyDescent="0.25">
      <c r="A15" s="100">
        <v>4</v>
      </c>
      <c r="B15" s="4" t="s">
        <v>17</v>
      </c>
      <c r="C15" s="15" t="s">
        <v>12</v>
      </c>
      <c r="D15" s="8" t="s">
        <v>110</v>
      </c>
      <c r="E15" s="100" t="s">
        <v>43</v>
      </c>
      <c r="F15" s="8">
        <v>10000</v>
      </c>
      <c r="G15" s="73">
        <f>11020/744000</f>
        <v>1.4811827956989248E-2</v>
      </c>
      <c r="H15" s="101">
        <f t="shared" si="0"/>
        <v>9.98518817204301</v>
      </c>
      <c r="I15" s="85"/>
      <c r="J15" s="85"/>
      <c r="K15" s="85"/>
    </row>
    <row r="16" spans="1:11" x14ac:dyDescent="0.25">
      <c r="A16" s="91">
        <v>5</v>
      </c>
      <c r="B16" s="9" t="s">
        <v>18</v>
      </c>
      <c r="C16" s="14" t="s">
        <v>12</v>
      </c>
      <c r="D16" s="14" t="s">
        <v>125</v>
      </c>
      <c r="E16" s="91" t="s">
        <v>43</v>
      </c>
      <c r="F16" s="14">
        <v>40000</v>
      </c>
      <c r="G16" s="79">
        <f>1231164/744000</f>
        <v>1.6547903225806451</v>
      </c>
      <c r="H16" s="92">
        <f t="shared" si="0"/>
        <v>38.345209677419355</v>
      </c>
      <c r="I16" s="85"/>
      <c r="J16" s="85"/>
      <c r="K16" s="85"/>
    </row>
    <row r="17" spans="1:11" x14ac:dyDescent="0.25">
      <c r="A17" s="96"/>
      <c r="B17" s="12"/>
      <c r="C17" s="13" t="s">
        <v>13</v>
      </c>
      <c r="D17" s="13" t="s">
        <v>125</v>
      </c>
      <c r="E17" s="96" t="s">
        <v>45</v>
      </c>
      <c r="F17" s="13">
        <v>5600</v>
      </c>
      <c r="G17" s="55">
        <f>(46200+600+4240+748188)/744000</f>
        <v>1.074231182795699</v>
      </c>
      <c r="H17" s="97">
        <f t="shared" si="0"/>
        <v>4.5257688172043009</v>
      </c>
      <c r="I17" s="85"/>
      <c r="J17" s="85"/>
      <c r="K17" s="85"/>
    </row>
    <row r="18" spans="1:11" x14ac:dyDescent="0.25">
      <c r="A18" s="91">
        <v>6</v>
      </c>
      <c r="B18" s="9" t="s">
        <v>19</v>
      </c>
      <c r="C18" s="14" t="s">
        <v>12</v>
      </c>
      <c r="D18" s="14" t="s">
        <v>112</v>
      </c>
      <c r="E18" s="91" t="s">
        <v>42</v>
      </c>
      <c r="F18" s="14">
        <v>20000</v>
      </c>
      <c r="G18" s="79">
        <f>23310/744000</f>
        <v>3.1330645161290326E-2</v>
      </c>
      <c r="H18" s="95">
        <f>F18/1000-G18</f>
        <v>19.96866935483871</v>
      </c>
      <c r="I18" s="85"/>
      <c r="J18" s="85"/>
      <c r="K18" s="85"/>
    </row>
    <row r="19" spans="1:11" x14ac:dyDescent="0.25">
      <c r="A19" s="93"/>
      <c r="B19" s="10"/>
      <c r="C19" s="11" t="s">
        <v>13</v>
      </c>
      <c r="D19" s="11"/>
      <c r="E19" s="93" t="s">
        <v>42</v>
      </c>
      <c r="F19" s="11">
        <v>20000</v>
      </c>
      <c r="G19" s="94">
        <f>399420/744000</f>
        <v>0.53685483870967743</v>
      </c>
      <c r="H19" s="95">
        <f t="shared" si="0"/>
        <v>19.463145161290324</v>
      </c>
      <c r="I19" s="85"/>
      <c r="J19" s="85"/>
      <c r="K19" s="85"/>
    </row>
    <row r="20" spans="1:11" x14ac:dyDescent="0.25">
      <c r="A20" s="96"/>
      <c r="B20" s="12"/>
      <c r="C20" s="13" t="s">
        <v>14</v>
      </c>
      <c r="D20" s="13"/>
      <c r="E20" s="96" t="s">
        <v>43</v>
      </c>
      <c r="F20" s="13">
        <v>10000</v>
      </c>
      <c r="G20" s="55">
        <f>525182/744000</f>
        <v>0.70588978494623655</v>
      </c>
      <c r="H20" s="97">
        <f t="shared" si="0"/>
        <v>9.2941102150537631</v>
      </c>
      <c r="I20" s="85"/>
      <c r="J20" s="85"/>
      <c r="K20" s="85"/>
    </row>
    <row r="21" spans="1:11" x14ac:dyDescent="0.25">
      <c r="A21" s="91">
        <v>7</v>
      </c>
      <c r="B21" s="9" t="s">
        <v>20</v>
      </c>
      <c r="C21" s="14" t="s">
        <v>12</v>
      </c>
      <c r="D21" s="14" t="s">
        <v>111</v>
      </c>
      <c r="E21" s="91" t="s">
        <v>42</v>
      </c>
      <c r="F21" s="14">
        <v>16000</v>
      </c>
      <c r="G21" s="79">
        <v>0</v>
      </c>
      <c r="H21" s="92" t="s">
        <v>106</v>
      </c>
      <c r="I21" s="85"/>
      <c r="J21" s="85"/>
      <c r="K21" s="85"/>
    </row>
    <row r="22" spans="1:11" x14ac:dyDescent="0.25">
      <c r="A22" s="96"/>
      <c r="B22" s="12"/>
      <c r="C22" s="13" t="s">
        <v>13</v>
      </c>
      <c r="D22" s="13"/>
      <c r="E22" s="96" t="s">
        <v>42</v>
      </c>
      <c r="F22" s="13">
        <v>16000</v>
      </c>
      <c r="G22" s="55">
        <f>93420/744000</f>
        <v>0.12556451612903224</v>
      </c>
      <c r="H22" s="55">
        <f t="shared" si="0"/>
        <v>15.874435483870968</v>
      </c>
      <c r="I22" s="85"/>
      <c r="J22" s="85"/>
      <c r="K22" s="85"/>
    </row>
    <row r="23" spans="1:11" x14ac:dyDescent="0.25">
      <c r="A23" s="100">
        <v>8</v>
      </c>
      <c r="B23" s="4" t="s">
        <v>21</v>
      </c>
      <c r="C23" s="15" t="s">
        <v>12</v>
      </c>
      <c r="D23" s="6" t="s">
        <v>113</v>
      </c>
      <c r="E23" s="100" t="s">
        <v>42</v>
      </c>
      <c r="F23" s="6">
        <v>2500</v>
      </c>
      <c r="G23" s="73">
        <f>33600/744000</f>
        <v>4.5161290322580643E-2</v>
      </c>
      <c r="H23" s="101">
        <f t="shared" si="0"/>
        <v>2.4548387096774196</v>
      </c>
      <c r="I23" s="85"/>
      <c r="J23" s="85"/>
      <c r="K23" s="85"/>
    </row>
    <row r="24" spans="1:11" x14ac:dyDescent="0.25">
      <c r="A24" s="91">
        <v>9</v>
      </c>
      <c r="B24" s="9" t="s">
        <v>22</v>
      </c>
      <c r="C24" s="14" t="s">
        <v>12</v>
      </c>
      <c r="D24" s="14" t="s">
        <v>114</v>
      </c>
      <c r="E24" s="91" t="s">
        <v>43</v>
      </c>
      <c r="F24" s="14">
        <v>6300</v>
      </c>
      <c r="G24" s="79">
        <v>0</v>
      </c>
      <c r="H24" s="92" t="s">
        <v>106</v>
      </c>
      <c r="I24" s="85"/>
      <c r="J24" s="85"/>
      <c r="K24" s="85"/>
    </row>
    <row r="25" spans="1:11" x14ac:dyDescent="0.25">
      <c r="A25" s="96"/>
      <c r="B25" s="12"/>
      <c r="C25" s="13" t="s">
        <v>13</v>
      </c>
      <c r="D25" s="13"/>
      <c r="E25" s="96" t="s">
        <v>43</v>
      </c>
      <c r="F25" s="13">
        <v>6300</v>
      </c>
      <c r="G25" s="55">
        <f>457476/744000</f>
        <v>0.61488709677419351</v>
      </c>
      <c r="H25" s="97">
        <f t="shared" si="0"/>
        <v>5.6851129032258063</v>
      </c>
      <c r="I25" s="85"/>
      <c r="J25" s="85"/>
      <c r="K25" s="85"/>
    </row>
    <row r="26" spans="1:11" x14ac:dyDescent="0.25">
      <c r="A26" s="91">
        <v>10</v>
      </c>
      <c r="B26" s="9" t="s">
        <v>23</v>
      </c>
      <c r="C26" s="14" t="s">
        <v>12</v>
      </c>
      <c r="D26" s="14" t="s">
        <v>111</v>
      </c>
      <c r="E26" s="91" t="s">
        <v>42</v>
      </c>
      <c r="F26" s="14">
        <v>16000</v>
      </c>
      <c r="G26" s="79">
        <f>1248930/744000</f>
        <v>1.6786693548387097</v>
      </c>
      <c r="H26" s="79">
        <f t="shared" si="0"/>
        <v>14.321330645161289</v>
      </c>
      <c r="I26" s="85"/>
      <c r="J26" s="85"/>
      <c r="K26" s="85"/>
    </row>
    <row r="27" spans="1:11" x14ac:dyDescent="0.25">
      <c r="A27" s="96"/>
      <c r="B27" s="12"/>
      <c r="C27" s="13" t="s">
        <v>13</v>
      </c>
      <c r="D27" s="13"/>
      <c r="E27" s="96" t="s">
        <v>42</v>
      </c>
      <c r="F27" s="13">
        <v>16000</v>
      </c>
      <c r="G27" s="55">
        <v>0</v>
      </c>
      <c r="H27" s="55">
        <f t="shared" si="0"/>
        <v>16</v>
      </c>
      <c r="I27" s="85"/>
      <c r="J27" s="85"/>
      <c r="K27" s="85"/>
    </row>
    <row r="28" spans="1:11" ht="31.5" x14ac:dyDescent="0.25">
      <c r="A28" s="100">
        <v>11</v>
      </c>
      <c r="B28" s="4" t="s">
        <v>24</v>
      </c>
      <c r="C28" s="15" t="s">
        <v>12</v>
      </c>
      <c r="D28" s="74" t="s">
        <v>115</v>
      </c>
      <c r="E28" s="100" t="s">
        <v>42</v>
      </c>
      <c r="F28" s="15">
        <v>2500</v>
      </c>
      <c r="G28" s="73">
        <f>14273/744000</f>
        <v>1.9184139784946236E-2</v>
      </c>
      <c r="H28" s="101">
        <f t="shared" si="0"/>
        <v>2.4808158602150536</v>
      </c>
      <c r="I28" s="85"/>
      <c r="J28" s="85"/>
      <c r="K28" s="85"/>
    </row>
    <row r="29" spans="1:11" x14ac:dyDescent="0.25">
      <c r="A29" s="100">
        <v>12</v>
      </c>
      <c r="B29" s="4" t="s">
        <v>25</v>
      </c>
      <c r="C29" s="15" t="s">
        <v>12</v>
      </c>
      <c r="D29" s="8" t="s">
        <v>116</v>
      </c>
      <c r="E29" s="100" t="s">
        <v>42</v>
      </c>
      <c r="F29" s="8">
        <v>2500</v>
      </c>
      <c r="G29" s="73">
        <f>45708/744000</f>
        <v>6.1435483870967741E-2</v>
      </c>
      <c r="H29" s="101">
        <f t="shared" si="0"/>
        <v>2.4385645161290324</v>
      </c>
      <c r="I29" s="85"/>
      <c r="J29" s="85"/>
      <c r="K29" s="85"/>
    </row>
    <row r="30" spans="1:11" x14ac:dyDescent="0.25">
      <c r="A30" s="91">
        <v>13</v>
      </c>
      <c r="B30" s="9" t="s">
        <v>26</v>
      </c>
      <c r="C30" s="14" t="s">
        <v>12</v>
      </c>
      <c r="D30" s="14" t="s">
        <v>117</v>
      </c>
      <c r="E30" s="91" t="s">
        <v>43</v>
      </c>
      <c r="F30" s="14">
        <v>40000</v>
      </c>
      <c r="G30" s="79">
        <v>0</v>
      </c>
      <c r="H30" s="92">
        <f t="shared" si="0"/>
        <v>40</v>
      </c>
      <c r="I30" s="85"/>
      <c r="J30" s="85"/>
      <c r="K30" s="85"/>
    </row>
    <row r="31" spans="1:11" x14ac:dyDescent="0.25">
      <c r="A31" s="96"/>
      <c r="B31" s="12"/>
      <c r="C31" s="13" t="s">
        <v>13</v>
      </c>
      <c r="D31" s="13"/>
      <c r="E31" s="96" t="s">
        <v>43</v>
      </c>
      <c r="F31" s="13">
        <v>20000</v>
      </c>
      <c r="G31" s="55">
        <f>6916392/744000</f>
        <v>9.2962258064516128</v>
      </c>
      <c r="H31" s="97">
        <f>F31/1000-G31</f>
        <v>10.703774193548387</v>
      </c>
      <c r="I31" s="85"/>
      <c r="J31" s="85"/>
      <c r="K31" s="85"/>
    </row>
    <row r="32" spans="1:11" ht="31.5" x14ac:dyDescent="0.25">
      <c r="A32" s="91">
        <v>14</v>
      </c>
      <c r="B32" s="9" t="s">
        <v>27</v>
      </c>
      <c r="C32" s="14" t="s">
        <v>12</v>
      </c>
      <c r="D32" s="75" t="s">
        <v>118</v>
      </c>
      <c r="E32" s="91" t="s">
        <v>42</v>
      </c>
      <c r="F32" s="14">
        <v>10000</v>
      </c>
      <c r="G32" s="79">
        <f>39912/744000</f>
        <v>5.3645161290322582E-2</v>
      </c>
      <c r="H32" s="79">
        <f t="shared" si="0"/>
        <v>9.9463548387096772</v>
      </c>
      <c r="I32" s="85"/>
      <c r="J32" s="85"/>
      <c r="K32" s="85"/>
    </row>
    <row r="33" spans="1:11" x14ac:dyDescent="0.25">
      <c r="A33" s="96"/>
      <c r="B33" s="12"/>
      <c r="C33" s="13" t="s">
        <v>13</v>
      </c>
      <c r="D33" s="13"/>
      <c r="E33" s="96" t="s">
        <v>42</v>
      </c>
      <c r="F33" s="13">
        <v>10000</v>
      </c>
      <c r="G33" s="55">
        <f>603528/744000</f>
        <v>0.81119354838709679</v>
      </c>
      <c r="H33" s="79">
        <f t="shared" si="0"/>
        <v>9.1888064516129031</v>
      </c>
      <c r="I33" s="85"/>
      <c r="J33" s="85"/>
      <c r="K33" s="85"/>
    </row>
    <row r="34" spans="1:11" x14ac:dyDescent="0.25">
      <c r="A34" s="100">
        <v>15</v>
      </c>
      <c r="B34" s="4" t="s">
        <v>28</v>
      </c>
      <c r="C34" s="15" t="s">
        <v>12</v>
      </c>
      <c r="D34" s="6" t="s">
        <v>119</v>
      </c>
      <c r="E34" s="100" t="s">
        <v>44</v>
      </c>
      <c r="F34" s="6">
        <v>6300</v>
      </c>
      <c r="G34" s="73">
        <f>49080/744000</f>
        <v>6.5967741935483867E-2</v>
      </c>
      <c r="H34" s="101">
        <f t="shared" si="0"/>
        <v>6.2340322580645156</v>
      </c>
      <c r="I34" s="85"/>
      <c r="J34" s="85"/>
      <c r="K34" s="85"/>
    </row>
    <row r="35" spans="1:11" ht="47.25" x14ac:dyDescent="0.25">
      <c r="A35" s="91">
        <v>16</v>
      </c>
      <c r="B35" s="9" t="s">
        <v>29</v>
      </c>
      <c r="C35" s="14" t="s">
        <v>12</v>
      </c>
      <c r="D35" s="75" t="s">
        <v>127</v>
      </c>
      <c r="E35" s="91" t="s">
        <v>42</v>
      </c>
      <c r="F35" s="14">
        <v>6300</v>
      </c>
      <c r="G35" s="79">
        <v>0</v>
      </c>
      <c r="H35" s="92" t="s">
        <v>106</v>
      </c>
      <c r="I35" s="85"/>
      <c r="J35" s="85"/>
      <c r="K35" s="85"/>
    </row>
    <row r="36" spans="1:11" x14ac:dyDescent="0.25">
      <c r="A36" s="96"/>
      <c r="B36" s="12"/>
      <c r="C36" s="13" t="s">
        <v>13</v>
      </c>
      <c r="D36" s="13"/>
      <c r="E36" s="102" t="s">
        <v>47</v>
      </c>
      <c r="F36" s="13">
        <v>10000</v>
      </c>
      <c r="G36" s="55">
        <v>0</v>
      </c>
      <c r="H36" s="97" t="s">
        <v>106</v>
      </c>
      <c r="I36" s="85"/>
      <c r="J36" s="85"/>
      <c r="K36" s="85"/>
    </row>
    <row r="37" spans="1:11" x14ac:dyDescent="0.25">
      <c r="A37" s="91">
        <v>17</v>
      </c>
      <c r="B37" s="9" t="s">
        <v>30</v>
      </c>
      <c r="C37" s="14" t="s">
        <v>12</v>
      </c>
      <c r="D37" s="14" t="s">
        <v>126</v>
      </c>
      <c r="E37" s="91" t="s">
        <v>45</v>
      </c>
      <c r="F37" s="14">
        <v>5600</v>
      </c>
      <c r="G37" s="79">
        <f>65256/744000</f>
        <v>8.7709677419354842E-2</v>
      </c>
      <c r="H37" s="92">
        <f t="shared" si="0"/>
        <v>5.512290322580645</v>
      </c>
      <c r="I37" s="85"/>
      <c r="J37" s="85"/>
      <c r="K37" s="85"/>
    </row>
    <row r="38" spans="1:11" x14ac:dyDescent="0.25">
      <c r="A38" s="96"/>
      <c r="B38" s="12"/>
      <c r="C38" s="13" t="s">
        <v>13</v>
      </c>
      <c r="D38" s="13"/>
      <c r="E38" s="96" t="s">
        <v>45</v>
      </c>
      <c r="F38" s="13">
        <v>5600</v>
      </c>
      <c r="G38" s="55">
        <v>0</v>
      </c>
      <c r="H38" s="97" t="s">
        <v>106</v>
      </c>
      <c r="I38" s="85"/>
      <c r="J38" s="85"/>
      <c r="K38" s="85"/>
    </row>
    <row r="39" spans="1:11" x14ac:dyDescent="0.25">
      <c r="A39" s="100">
        <v>18</v>
      </c>
      <c r="B39" s="4" t="s">
        <v>31</v>
      </c>
      <c r="C39" s="15" t="s">
        <v>12</v>
      </c>
      <c r="D39" s="6" t="s">
        <v>126</v>
      </c>
      <c r="E39" s="100" t="s">
        <v>45</v>
      </c>
      <c r="F39" s="6">
        <v>560</v>
      </c>
      <c r="G39" s="73">
        <f>6279/744000</f>
        <v>8.4395161290322582E-3</v>
      </c>
      <c r="H39" s="101">
        <f t="shared" si="0"/>
        <v>0.55156048387096779</v>
      </c>
      <c r="I39" s="85"/>
      <c r="J39" s="85"/>
      <c r="K39" s="85"/>
    </row>
    <row r="40" spans="1:11" x14ac:dyDescent="0.25">
      <c r="A40" s="91">
        <v>19</v>
      </c>
      <c r="B40" s="9" t="s">
        <v>32</v>
      </c>
      <c r="C40" s="14" t="s">
        <v>12</v>
      </c>
      <c r="D40" s="14" t="s">
        <v>125</v>
      </c>
      <c r="E40" s="91" t="s">
        <v>45</v>
      </c>
      <c r="F40" s="14">
        <v>2500</v>
      </c>
      <c r="G40" s="79">
        <v>0</v>
      </c>
      <c r="H40" s="92" t="s">
        <v>106</v>
      </c>
      <c r="I40" s="85"/>
      <c r="J40" s="85"/>
      <c r="K40" s="85"/>
    </row>
    <row r="41" spans="1:11" x14ac:dyDescent="0.25">
      <c r="A41" s="96"/>
      <c r="B41" s="12"/>
      <c r="C41" s="13" t="s">
        <v>13</v>
      </c>
      <c r="D41" s="13" t="s">
        <v>125</v>
      </c>
      <c r="E41" s="96" t="s">
        <v>45</v>
      </c>
      <c r="F41" s="13">
        <v>2500</v>
      </c>
      <c r="G41" s="55">
        <f>882/744000</f>
        <v>1.1854838709677419E-3</v>
      </c>
      <c r="H41" s="97">
        <f t="shared" si="0"/>
        <v>2.4988145161290323</v>
      </c>
      <c r="I41" s="85"/>
      <c r="J41" s="85"/>
      <c r="K41" s="85"/>
    </row>
    <row r="42" spans="1:11" x14ac:dyDescent="0.25">
      <c r="A42" s="100">
        <v>20</v>
      </c>
      <c r="B42" s="4" t="s">
        <v>33</v>
      </c>
      <c r="C42" s="15" t="s">
        <v>12</v>
      </c>
      <c r="D42" s="15" t="s">
        <v>110</v>
      </c>
      <c r="E42" s="100" t="s">
        <v>45</v>
      </c>
      <c r="F42" s="15">
        <v>1600</v>
      </c>
      <c r="G42" s="73">
        <f>10411/744000</f>
        <v>1.3993279569892473E-2</v>
      </c>
      <c r="H42" s="101">
        <f t="shared" si="0"/>
        <v>1.5860067204301076</v>
      </c>
      <c r="I42" s="85"/>
      <c r="J42" s="85"/>
      <c r="K42" s="85"/>
    </row>
    <row r="43" spans="1:11" x14ac:dyDescent="0.25">
      <c r="A43" s="100">
        <v>21</v>
      </c>
      <c r="B43" s="4" t="s">
        <v>34</v>
      </c>
      <c r="C43" s="15" t="s">
        <v>12</v>
      </c>
      <c r="D43" s="15" t="s">
        <v>120</v>
      </c>
      <c r="E43" s="100" t="s">
        <v>45</v>
      </c>
      <c r="F43" s="15">
        <v>6300</v>
      </c>
      <c r="G43" s="73">
        <f>163906/744000</f>
        <v>0.22030376344086022</v>
      </c>
      <c r="H43" s="101">
        <f t="shared" si="0"/>
        <v>6.0796962365591396</v>
      </c>
      <c r="I43" s="85"/>
      <c r="J43" s="85"/>
      <c r="K43" s="85"/>
    </row>
    <row r="44" spans="1:11" ht="31.5" x14ac:dyDescent="0.25">
      <c r="A44" s="91">
        <v>22</v>
      </c>
      <c r="B44" s="9" t="s">
        <v>35</v>
      </c>
      <c r="C44" s="14" t="s">
        <v>12</v>
      </c>
      <c r="D44" s="75" t="s">
        <v>121</v>
      </c>
      <c r="E44" s="91" t="s">
        <v>45</v>
      </c>
      <c r="F44" s="14">
        <v>4000</v>
      </c>
      <c r="G44" s="79">
        <f>322236/744000</f>
        <v>0.43311290322580648</v>
      </c>
      <c r="H44" s="92">
        <f t="shared" si="0"/>
        <v>3.5668870967741935</v>
      </c>
      <c r="I44" s="85"/>
      <c r="J44" s="85"/>
      <c r="K44" s="85"/>
    </row>
    <row r="45" spans="1:11" x14ac:dyDescent="0.25">
      <c r="A45" s="96"/>
      <c r="B45" s="12"/>
      <c r="C45" s="13" t="s">
        <v>13</v>
      </c>
      <c r="D45" s="13"/>
      <c r="E45" s="96" t="s">
        <v>45</v>
      </c>
      <c r="F45" s="13">
        <v>4000</v>
      </c>
      <c r="G45" s="55">
        <v>0</v>
      </c>
      <c r="H45" s="97" t="s">
        <v>106</v>
      </c>
      <c r="I45" s="85"/>
      <c r="J45" s="85"/>
      <c r="K45" s="85"/>
    </row>
    <row r="46" spans="1:11" x14ac:dyDescent="0.25">
      <c r="A46" s="91">
        <v>23</v>
      </c>
      <c r="B46" s="9" t="s">
        <v>36</v>
      </c>
      <c r="C46" s="14" t="s">
        <v>12</v>
      </c>
      <c r="D46" s="14" t="s">
        <v>122</v>
      </c>
      <c r="E46" s="91" t="s">
        <v>45</v>
      </c>
      <c r="F46" s="14">
        <v>4000</v>
      </c>
      <c r="G46" s="79">
        <f>99834/744000</f>
        <v>0.13418548387096774</v>
      </c>
      <c r="H46" s="55">
        <f>F46/1000-G46</f>
        <v>3.8658145161290323</v>
      </c>
      <c r="I46" s="85"/>
      <c r="J46" s="85"/>
      <c r="K46" s="85"/>
    </row>
    <row r="47" spans="1:11" x14ac:dyDescent="0.25">
      <c r="A47" s="96"/>
      <c r="B47" s="12"/>
      <c r="C47" s="13" t="s">
        <v>13</v>
      </c>
      <c r="D47" s="13"/>
      <c r="E47" s="96" t="s">
        <v>45</v>
      </c>
      <c r="F47" s="13">
        <v>4000</v>
      </c>
      <c r="G47" s="55">
        <f>119202/744000</f>
        <v>0.16021774193548388</v>
      </c>
      <c r="H47" s="55">
        <f t="shared" si="0"/>
        <v>3.839782258064516</v>
      </c>
      <c r="I47" s="85"/>
      <c r="J47" s="85"/>
      <c r="K47" s="85"/>
    </row>
    <row r="48" spans="1:11" x14ac:dyDescent="0.25">
      <c r="A48" s="100">
        <v>24</v>
      </c>
      <c r="B48" s="4" t="s">
        <v>37</v>
      </c>
      <c r="C48" s="15" t="s">
        <v>12</v>
      </c>
      <c r="D48" s="15" t="s">
        <v>123</v>
      </c>
      <c r="E48" s="100" t="s">
        <v>46</v>
      </c>
      <c r="F48" s="15"/>
      <c r="G48" s="73">
        <v>0</v>
      </c>
      <c r="H48" s="101" t="s">
        <v>107</v>
      </c>
      <c r="I48" s="85"/>
      <c r="J48" s="85"/>
      <c r="K48" s="85"/>
    </row>
    <row r="49" spans="1:11" x14ac:dyDescent="0.25">
      <c r="A49" s="100">
        <v>25</v>
      </c>
      <c r="B49" s="4" t="s">
        <v>38</v>
      </c>
      <c r="C49" s="15" t="s">
        <v>12</v>
      </c>
      <c r="D49" s="15" t="s">
        <v>124</v>
      </c>
      <c r="E49" s="100" t="s">
        <v>45</v>
      </c>
      <c r="F49" s="15">
        <v>1000</v>
      </c>
      <c r="G49" s="73">
        <f>80522/744000</f>
        <v>0.10822849462365591</v>
      </c>
      <c r="H49" s="101">
        <f t="shared" si="0"/>
        <v>0.89177150537634409</v>
      </c>
      <c r="I49" s="85"/>
      <c r="J49" s="85"/>
      <c r="K49" s="85"/>
    </row>
    <row r="50" spans="1:11" x14ac:dyDescent="0.25">
      <c r="A50" s="100">
        <v>26</v>
      </c>
      <c r="B50" s="4" t="s">
        <v>39</v>
      </c>
      <c r="C50" s="15" t="s">
        <v>12</v>
      </c>
      <c r="D50" s="15" t="s">
        <v>125</v>
      </c>
      <c r="E50" s="100" t="s">
        <v>41</v>
      </c>
      <c r="F50" s="15">
        <v>2500</v>
      </c>
      <c r="G50" s="73">
        <v>0</v>
      </c>
      <c r="H50" s="101" t="s">
        <v>106</v>
      </c>
      <c r="I50" s="85"/>
      <c r="J50" s="85"/>
      <c r="K50" s="85"/>
    </row>
    <row r="51" spans="1:11" x14ac:dyDescent="0.25">
      <c r="A51" s="86"/>
      <c r="B51" s="85"/>
      <c r="C51" s="85"/>
      <c r="D51" s="85"/>
      <c r="E51" s="86"/>
      <c r="F51" s="85"/>
      <c r="G51" s="87"/>
      <c r="H51" s="88"/>
      <c r="I51" s="85"/>
      <c r="J51" s="85"/>
      <c r="K51" s="85"/>
    </row>
    <row r="52" spans="1:11" x14ac:dyDescent="0.25">
      <c r="A52" s="116" t="s">
        <v>48</v>
      </c>
      <c r="B52" s="116"/>
      <c r="C52" s="116"/>
      <c r="D52" s="116"/>
      <c r="E52" s="116"/>
      <c r="F52" s="116"/>
      <c r="G52" s="116"/>
      <c r="H52" s="116"/>
      <c r="I52" s="85"/>
      <c r="J52" s="85"/>
      <c r="K52" s="85"/>
    </row>
    <row r="53" spans="1:11" x14ac:dyDescent="0.25">
      <c r="A53" s="86"/>
      <c r="B53" s="85"/>
      <c r="C53" s="85"/>
      <c r="D53" s="85"/>
      <c r="E53" s="86"/>
      <c r="F53" s="85"/>
      <c r="G53" s="87"/>
      <c r="H53" s="88"/>
      <c r="I53" s="85"/>
      <c r="J53" s="85"/>
      <c r="K53" s="85"/>
    </row>
    <row r="54" spans="1:11" ht="63" x14ac:dyDescent="0.25">
      <c r="A54" s="76" t="s">
        <v>4</v>
      </c>
      <c r="B54" s="76" t="s">
        <v>49</v>
      </c>
      <c r="C54" s="76" t="s">
        <v>50</v>
      </c>
      <c r="D54" s="76" t="s">
        <v>51</v>
      </c>
      <c r="E54" s="76" t="s">
        <v>8</v>
      </c>
      <c r="F54" s="76" t="s">
        <v>52</v>
      </c>
      <c r="G54" s="89" t="s">
        <v>129</v>
      </c>
      <c r="H54" s="89" t="s">
        <v>10</v>
      </c>
      <c r="I54" s="85"/>
      <c r="J54" s="85"/>
      <c r="K54" s="85"/>
    </row>
    <row r="55" spans="1:11" x14ac:dyDescent="0.25">
      <c r="A55" s="100"/>
      <c r="B55" s="80" t="s">
        <v>53</v>
      </c>
      <c r="C55" s="4"/>
      <c r="D55" s="15"/>
      <c r="E55" s="80"/>
      <c r="F55" s="15"/>
      <c r="G55" s="73"/>
      <c r="H55" s="101"/>
      <c r="I55" s="85"/>
      <c r="J55" s="85"/>
      <c r="K55" s="85"/>
    </row>
    <row r="56" spans="1:11" x14ac:dyDescent="0.25">
      <c r="A56" s="91">
        <v>1</v>
      </c>
      <c r="B56" s="9" t="s">
        <v>54</v>
      </c>
      <c r="C56" s="56">
        <v>3.3</v>
      </c>
      <c r="D56" s="64">
        <v>120</v>
      </c>
      <c r="E56" s="14">
        <v>110</v>
      </c>
      <c r="F56" s="103">
        <f>1.73*115*330/1000</f>
        <v>65.653499999999994</v>
      </c>
      <c r="G56" s="79">
        <v>8.8999999999999996E-2</v>
      </c>
      <c r="H56" s="103">
        <f>F56-G56</f>
        <v>65.564499999999995</v>
      </c>
      <c r="I56" s="85"/>
      <c r="J56" s="85"/>
      <c r="K56" s="85"/>
    </row>
    <row r="57" spans="1:11" x14ac:dyDescent="0.25">
      <c r="A57" s="93">
        <v>2</v>
      </c>
      <c r="B57" s="10" t="s">
        <v>55</v>
      </c>
      <c r="C57" s="57">
        <v>217.4</v>
      </c>
      <c r="D57" s="65">
        <v>150</v>
      </c>
      <c r="E57" s="11">
        <v>110</v>
      </c>
      <c r="F57" s="104">
        <f>1.73*115*445/1000</f>
        <v>88.532749999999993</v>
      </c>
      <c r="G57" s="94">
        <f>2370674/744000</f>
        <v>3.1863897849462366</v>
      </c>
      <c r="H57" s="104">
        <f t="shared" ref="H57:H108" si="1">F57-G57</f>
        <v>85.34636021505375</v>
      </c>
      <c r="I57" s="85"/>
      <c r="J57" s="85"/>
      <c r="K57" s="85"/>
    </row>
    <row r="58" spans="1:11" x14ac:dyDescent="0.25">
      <c r="A58" s="93">
        <v>3</v>
      </c>
      <c r="B58" s="10" t="s">
        <v>56</v>
      </c>
      <c r="C58" s="57">
        <v>217.4</v>
      </c>
      <c r="D58" s="65">
        <v>150</v>
      </c>
      <c r="E58" s="11">
        <v>110</v>
      </c>
      <c r="F58" s="104">
        <f>1.73*115*445/1000</f>
        <v>88.532749999999993</v>
      </c>
      <c r="G58" s="94">
        <f>435875/744000</f>
        <v>0.58585349462365588</v>
      </c>
      <c r="H58" s="104">
        <f t="shared" si="1"/>
        <v>87.946896505376344</v>
      </c>
      <c r="I58" s="85"/>
      <c r="J58" s="85"/>
      <c r="K58" s="85"/>
    </row>
    <row r="59" spans="1:11" x14ac:dyDescent="0.25">
      <c r="A59" s="93">
        <v>4</v>
      </c>
      <c r="B59" s="10" t="s">
        <v>57</v>
      </c>
      <c r="C59" s="58">
        <v>17.3</v>
      </c>
      <c r="D59" s="65" t="s">
        <v>109</v>
      </c>
      <c r="E59" s="11">
        <v>110</v>
      </c>
      <c r="F59" s="104">
        <f>1.73*115*445/1000</f>
        <v>88.532749999999993</v>
      </c>
      <c r="G59" s="94">
        <f>3651877/744000</f>
        <v>4.9084368279569892</v>
      </c>
      <c r="H59" s="104">
        <f t="shared" si="1"/>
        <v>83.624313172043003</v>
      </c>
      <c r="I59" s="85"/>
      <c r="J59" s="85"/>
      <c r="K59" s="85"/>
    </row>
    <row r="60" spans="1:11" x14ac:dyDescent="0.25">
      <c r="A60" s="93">
        <v>5</v>
      </c>
      <c r="B60" s="10" t="s">
        <v>58</v>
      </c>
      <c r="C60" s="57">
        <v>17.3</v>
      </c>
      <c r="D60" s="65" t="s">
        <v>109</v>
      </c>
      <c r="E60" s="11">
        <v>110</v>
      </c>
      <c r="F60" s="104">
        <f>1.73*115*445/1000</f>
        <v>88.532749999999993</v>
      </c>
      <c r="G60" s="94">
        <f>2816271/744000</f>
        <v>3.7853104838709677</v>
      </c>
      <c r="H60" s="104">
        <f t="shared" si="1"/>
        <v>84.74743951612902</v>
      </c>
      <c r="I60" s="85"/>
      <c r="J60" s="85"/>
      <c r="K60" s="85"/>
    </row>
    <row r="61" spans="1:11" x14ac:dyDescent="0.25">
      <c r="A61" s="93">
        <v>6</v>
      </c>
      <c r="B61" s="10" t="s">
        <v>59</v>
      </c>
      <c r="C61" s="57">
        <v>47.1</v>
      </c>
      <c r="D61" s="65">
        <v>120</v>
      </c>
      <c r="E61" s="11">
        <v>110</v>
      </c>
      <c r="F61" s="104">
        <f>1.73*115*445/1000</f>
        <v>88.532749999999993</v>
      </c>
      <c r="G61" s="94">
        <f>580888/744000</f>
        <v>0.7807634408602151</v>
      </c>
      <c r="H61" s="104">
        <f t="shared" si="1"/>
        <v>87.75198655913978</v>
      </c>
      <c r="I61" s="85"/>
      <c r="J61" s="85"/>
      <c r="K61" s="85"/>
    </row>
    <row r="62" spans="1:11" x14ac:dyDescent="0.25">
      <c r="A62" s="93">
        <v>7</v>
      </c>
      <c r="B62" s="10" t="s">
        <v>60</v>
      </c>
      <c r="C62" s="57">
        <v>36.9</v>
      </c>
      <c r="D62" s="65">
        <v>120</v>
      </c>
      <c r="E62" s="11">
        <v>110</v>
      </c>
      <c r="F62" s="104">
        <f>1.73*115*380/1000</f>
        <v>75.600999999999999</v>
      </c>
      <c r="G62" s="94">
        <f>1011237/744000</f>
        <v>1.3591895161290322</v>
      </c>
      <c r="H62" s="104">
        <f t="shared" si="1"/>
        <v>74.241810483870964</v>
      </c>
      <c r="I62" s="85"/>
      <c r="J62" s="85"/>
      <c r="K62" s="85"/>
    </row>
    <row r="63" spans="1:11" x14ac:dyDescent="0.25">
      <c r="A63" s="93">
        <v>8</v>
      </c>
      <c r="B63" s="10" t="s">
        <v>61</v>
      </c>
      <c r="C63" s="58">
        <v>39.32</v>
      </c>
      <c r="D63" s="65">
        <v>185</v>
      </c>
      <c r="E63" s="11">
        <v>110</v>
      </c>
      <c r="F63" s="104">
        <f>1.73*115*510/1000</f>
        <v>101.4645</v>
      </c>
      <c r="G63" s="94">
        <f>5324487/744000</f>
        <v>7.1565685483870967</v>
      </c>
      <c r="H63" s="104">
        <f t="shared" si="1"/>
        <v>94.307931451612902</v>
      </c>
      <c r="I63" s="85"/>
      <c r="J63" s="85"/>
      <c r="K63" s="85"/>
    </row>
    <row r="64" spans="1:11" x14ac:dyDescent="0.25">
      <c r="A64" s="93">
        <v>9</v>
      </c>
      <c r="B64" s="10" t="s">
        <v>105</v>
      </c>
      <c r="C64" s="57">
        <v>172.4</v>
      </c>
      <c r="D64" s="65">
        <v>185</v>
      </c>
      <c r="E64" s="11">
        <v>110</v>
      </c>
      <c r="F64" s="104">
        <f>1.73*115*510/1000</f>
        <v>101.4645</v>
      </c>
      <c r="G64" s="94">
        <f>4097194/744000</f>
        <v>5.5069811827956991</v>
      </c>
      <c r="H64" s="104">
        <f t="shared" si="1"/>
        <v>95.957518817204303</v>
      </c>
      <c r="I64" s="85"/>
      <c r="J64" s="85"/>
      <c r="K64" s="85"/>
    </row>
    <row r="65" spans="1:11" x14ac:dyDescent="0.25">
      <c r="A65" s="93">
        <v>10</v>
      </c>
      <c r="B65" s="10" t="s">
        <v>62</v>
      </c>
      <c r="C65" s="57">
        <v>3.35</v>
      </c>
      <c r="D65" s="65">
        <v>120</v>
      </c>
      <c r="E65" s="11">
        <v>110</v>
      </c>
      <c r="F65" s="104">
        <f>1.73*115*380/1000</f>
        <v>75.600999999999999</v>
      </c>
      <c r="G65" s="94">
        <v>9.6170000000000009</v>
      </c>
      <c r="H65" s="104">
        <f>F65-G65</f>
        <v>65.983999999999995</v>
      </c>
      <c r="I65" s="85"/>
      <c r="J65" s="85"/>
      <c r="K65" s="85"/>
    </row>
    <row r="66" spans="1:11" x14ac:dyDescent="0.25">
      <c r="A66" s="96">
        <v>11</v>
      </c>
      <c r="B66" s="12" t="s">
        <v>63</v>
      </c>
      <c r="C66" s="59">
        <v>19</v>
      </c>
      <c r="D66" s="66">
        <v>35</v>
      </c>
      <c r="E66" s="13">
        <v>35</v>
      </c>
      <c r="F66" s="105">
        <f>1.73*37*175/1000</f>
        <v>11.201750000000001</v>
      </c>
      <c r="G66" s="55">
        <f>279988/744000</f>
        <v>0.37632795698924731</v>
      </c>
      <c r="H66" s="105">
        <f t="shared" si="1"/>
        <v>10.825422043010754</v>
      </c>
      <c r="I66" s="85"/>
      <c r="J66" s="85"/>
      <c r="K66" s="85"/>
    </row>
    <row r="67" spans="1:11" x14ac:dyDescent="0.25">
      <c r="A67" s="100"/>
      <c r="B67" s="80" t="s">
        <v>64</v>
      </c>
      <c r="C67" s="60"/>
      <c r="D67" s="67"/>
      <c r="E67" s="80"/>
      <c r="F67" s="106"/>
      <c r="G67" s="73"/>
      <c r="H67" s="106"/>
      <c r="I67" s="85"/>
      <c r="J67" s="85"/>
      <c r="K67" s="85"/>
    </row>
    <row r="68" spans="1:11" x14ac:dyDescent="0.25">
      <c r="A68" s="91">
        <v>12</v>
      </c>
      <c r="B68" s="9" t="s">
        <v>65</v>
      </c>
      <c r="C68" s="61">
        <v>89.5</v>
      </c>
      <c r="D68" s="64">
        <v>120</v>
      </c>
      <c r="E68" s="14">
        <v>110</v>
      </c>
      <c r="F68" s="103">
        <f>1.73*115*380/1000</f>
        <v>75.600999999999999</v>
      </c>
      <c r="G68" s="79">
        <f>124549/744000</f>
        <v>0.16740456989247313</v>
      </c>
      <c r="H68" s="103">
        <f t="shared" si="1"/>
        <v>75.43359543010753</v>
      </c>
      <c r="I68" s="85"/>
      <c r="J68" s="85"/>
      <c r="K68" s="85"/>
    </row>
    <row r="69" spans="1:11" x14ac:dyDescent="0.25">
      <c r="A69" s="93">
        <v>13</v>
      </c>
      <c r="B69" s="10" t="s">
        <v>66</v>
      </c>
      <c r="C69" s="57">
        <v>118.61</v>
      </c>
      <c r="D69" s="65">
        <v>120</v>
      </c>
      <c r="E69" s="11">
        <v>110</v>
      </c>
      <c r="F69" s="104">
        <f>1.73*115*380/1000</f>
        <v>75.600999999999999</v>
      </c>
      <c r="G69" s="94">
        <v>0</v>
      </c>
      <c r="H69" s="107" t="s">
        <v>106</v>
      </c>
      <c r="I69" s="85"/>
      <c r="J69" s="85"/>
      <c r="K69" s="85"/>
    </row>
    <row r="70" spans="1:11" x14ac:dyDescent="0.25">
      <c r="A70" s="96">
        <v>14</v>
      </c>
      <c r="B70" s="12" t="s">
        <v>67</v>
      </c>
      <c r="C70" s="59">
        <v>90.5</v>
      </c>
      <c r="D70" s="66">
        <v>120</v>
      </c>
      <c r="E70" s="13">
        <v>110</v>
      </c>
      <c r="F70" s="105">
        <f>1.73*115*380/1000</f>
        <v>75.600999999999999</v>
      </c>
      <c r="G70" s="55">
        <f>568896/744000</f>
        <v>0.76464516129032256</v>
      </c>
      <c r="H70" s="105">
        <f t="shared" si="1"/>
        <v>74.836354838709681</v>
      </c>
      <c r="I70" s="85"/>
      <c r="J70" s="85"/>
      <c r="K70" s="85"/>
    </row>
    <row r="71" spans="1:11" x14ac:dyDescent="0.25">
      <c r="A71" s="100"/>
      <c r="B71" s="80" t="s">
        <v>68</v>
      </c>
      <c r="C71" s="62"/>
      <c r="D71" s="67"/>
      <c r="E71" s="80"/>
      <c r="F71" s="106"/>
      <c r="G71" s="73"/>
      <c r="H71" s="106"/>
      <c r="I71" s="85"/>
      <c r="J71" s="85"/>
      <c r="K71" s="85"/>
    </row>
    <row r="72" spans="1:11" x14ac:dyDescent="0.25">
      <c r="A72" s="91">
        <v>15</v>
      </c>
      <c r="B72" s="9" t="s">
        <v>69</v>
      </c>
      <c r="C72" s="56">
        <v>51</v>
      </c>
      <c r="D72" s="64">
        <v>185</v>
      </c>
      <c r="E72" s="14">
        <v>110</v>
      </c>
      <c r="F72" s="103">
        <f>1.73*115*510/1000</f>
        <v>101.4645</v>
      </c>
      <c r="G72" s="79">
        <f>4628032/744000</f>
        <v>6.2204731182795703</v>
      </c>
      <c r="H72" s="103">
        <f t="shared" si="1"/>
        <v>95.24402688172043</v>
      </c>
      <c r="I72" s="85"/>
      <c r="J72" s="85"/>
      <c r="K72" s="85"/>
    </row>
    <row r="73" spans="1:11" x14ac:dyDescent="0.25">
      <c r="A73" s="96">
        <v>16</v>
      </c>
      <c r="B73" s="12" t="s">
        <v>70</v>
      </c>
      <c r="C73" s="63">
        <v>2.2599999999999998</v>
      </c>
      <c r="D73" s="66">
        <v>70</v>
      </c>
      <c r="E73" s="13">
        <v>35</v>
      </c>
      <c r="F73" s="105">
        <f>1.73*37*265/1000</f>
        <v>16.96265</v>
      </c>
      <c r="G73" s="55">
        <f>1016657/744000</f>
        <v>1.3664744623655913</v>
      </c>
      <c r="H73" s="105">
        <f t="shared" si="1"/>
        <v>15.596175537634409</v>
      </c>
      <c r="I73" s="85"/>
      <c r="J73" s="85"/>
      <c r="K73" s="85"/>
    </row>
    <row r="74" spans="1:11" x14ac:dyDescent="0.25">
      <c r="A74" s="100"/>
      <c r="B74" s="80" t="s">
        <v>71</v>
      </c>
      <c r="C74" s="60"/>
      <c r="D74" s="67"/>
      <c r="E74" s="80"/>
      <c r="F74" s="106"/>
      <c r="G74" s="73"/>
      <c r="H74" s="106"/>
      <c r="I74" s="85"/>
      <c r="J74" s="85"/>
      <c r="K74" s="85"/>
    </row>
    <row r="75" spans="1:11" x14ac:dyDescent="0.25">
      <c r="A75" s="91">
        <v>17</v>
      </c>
      <c r="B75" s="9" t="s">
        <v>72</v>
      </c>
      <c r="C75" s="56">
        <v>30</v>
      </c>
      <c r="D75" s="64">
        <v>95</v>
      </c>
      <c r="E75" s="14">
        <v>35</v>
      </c>
      <c r="F75" s="103">
        <f>1.73*37*330/1000</f>
        <v>21.123300000000004</v>
      </c>
      <c r="G75" s="79">
        <f>22953/744000</f>
        <v>3.0850806451612905E-2</v>
      </c>
      <c r="H75" s="103">
        <f t="shared" si="1"/>
        <v>21.09244919354839</v>
      </c>
      <c r="I75" s="85"/>
      <c r="J75" s="85"/>
      <c r="K75" s="85"/>
    </row>
    <row r="76" spans="1:11" x14ac:dyDescent="0.25">
      <c r="A76" s="93">
        <v>18</v>
      </c>
      <c r="B76" s="10" t="s">
        <v>73</v>
      </c>
      <c r="C76" s="57">
        <v>53.3</v>
      </c>
      <c r="D76" s="65">
        <v>70</v>
      </c>
      <c r="E76" s="11">
        <v>35</v>
      </c>
      <c r="F76" s="104">
        <f>1.73*37*265/1000</f>
        <v>16.96265</v>
      </c>
      <c r="G76" s="94">
        <f>1044076/744000</f>
        <v>1.4033279569892474</v>
      </c>
      <c r="H76" s="104">
        <f t="shared" si="1"/>
        <v>15.559322043010752</v>
      </c>
      <c r="I76" s="85"/>
      <c r="J76" s="85"/>
      <c r="K76" s="85"/>
    </row>
    <row r="77" spans="1:11" x14ac:dyDescent="0.25">
      <c r="A77" s="93">
        <v>19</v>
      </c>
      <c r="B77" s="10" t="s">
        <v>74</v>
      </c>
      <c r="C77" s="58">
        <v>30.9</v>
      </c>
      <c r="D77" s="65">
        <v>70</v>
      </c>
      <c r="E77" s="11">
        <v>35</v>
      </c>
      <c r="F77" s="104">
        <f>1.73*37*265/1000</f>
        <v>16.96265</v>
      </c>
      <c r="G77" s="94">
        <v>0</v>
      </c>
      <c r="H77" s="107" t="s">
        <v>106</v>
      </c>
      <c r="I77" s="85"/>
      <c r="J77" s="85"/>
      <c r="K77" s="85"/>
    </row>
    <row r="78" spans="1:11" x14ac:dyDescent="0.25">
      <c r="A78" s="93">
        <v>20</v>
      </c>
      <c r="B78" s="10" t="s">
        <v>75</v>
      </c>
      <c r="C78" s="57">
        <v>33.14</v>
      </c>
      <c r="D78" s="65">
        <v>70</v>
      </c>
      <c r="E78" s="11">
        <v>35</v>
      </c>
      <c r="F78" s="104">
        <f>1.73*37*265/1000</f>
        <v>16.96265</v>
      </c>
      <c r="G78" s="94">
        <v>0</v>
      </c>
      <c r="H78" s="107" t="s">
        <v>106</v>
      </c>
      <c r="I78" s="85"/>
      <c r="J78" s="85"/>
      <c r="K78" s="85"/>
    </row>
    <row r="79" spans="1:11" x14ac:dyDescent="0.25">
      <c r="A79" s="96">
        <v>21</v>
      </c>
      <c r="B79" s="12" t="s">
        <v>76</v>
      </c>
      <c r="C79" s="63">
        <v>44.5</v>
      </c>
      <c r="D79" s="66">
        <v>95</v>
      </c>
      <c r="E79" s="13">
        <v>35</v>
      </c>
      <c r="F79" s="105">
        <f>1.73*37*330/1000</f>
        <v>21.123300000000004</v>
      </c>
      <c r="G79" s="55">
        <f>49715/744000</f>
        <v>6.6821236559139782E-2</v>
      </c>
      <c r="H79" s="105">
        <f t="shared" si="1"/>
        <v>21.056478763440865</v>
      </c>
      <c r="I79" s="85"/>
      <c r="J79" s="85"/>
      <c r="K79" s="85"/>
    </row>
    <row r="80" spans="1:11" x14ac:dyDescent="0.25">
      <c r="A80" s="100"/>
      <c r="B80" s="80" t="s">
        <v>77</v>
      </c>
      <c r="C80" s="62"/>
      <c r="D80" s="67"/>
      <c r="E80" s="80"/>
      <c r="F80" s="106"/>
      <c r="G80" s="73"/>
      <c r="H80" s="106"/>
      <c r="I80" s="85"/>
      <c r="J80" s="85"/>
      <c r="K80" s="85"/>
    </row>
    <row r="81" spans="1:11" x14ac:dyDescent="0.25">
      <c r="A81" s="100">
        <v>22</v>
      </c>
      <c r="B81" s="4" t="s">
        <v>78</v>
      </c>
      <c r="C81" s="60">
        <v>15.4</v>
      </c>
      <c r="D81" s="67">
        <v>95</v>
      </c>
      <c r="E81" s="15">
        <v>35</v>
      </c>
      <c r="F81" s="108">
        <f>1.73*37*330/1000</f>
        <v>21.123300000000004</v>
      </c>
      <c r="G81" s="73">
        <v>0</v>
      </c>
      <c r="H81" s="109" t="s">
        <v>106</v>
      </c>
      <c r="I81" s="85"/>
      <c r="J81" s="85"/>
      <c r="K81" s="85"/>
    </row>
    <row r="82" spans="1:11" x14ac:dyDescent="0.25">
      <c r="A82" s="100"/>
      <c r="B82" s="80" t="s">
        <v>79</v>
      </c>
      <c r="C82" s="62"/>
      <c r="D82" s="67"/>
      <c r="E82" s="80"/>
      <c r="F82" s="106"/>
      <c r="G82" s="73"/>
      <c r="H82" s="106"/>
      <c r="I82" s="85"/>
      <c r="J82" s="85"/>
      <c r="K82" s="85"/>
    </row>
    <row r="83" spans="1:11" x14ac:dyDescent="0.25">
      <c r="A83" s="100">
        <v>23</v>
      </c>
      <c r="B83" s="4" t="s">
        <v>80</v>
      </c>
      <c r="C83" s="60">
        <v>4</v>
      </c>
      <c r="D83" s="67">
        <v>95</v>
      </c>
      <c r="E83" s="15">
        <v>110</v>
      </c>
      <c r="F83" s="108">
        <f>1.73*115*330/1000</f>
        <v>65.653499999999994</v>
      </c>
      <c r="G83" s="73">
        <v>0</v>
      </c>
      <c r="H83" s="109" t="s">
        <v>106</v>
      </c>
      <c r="I83" s="85"/>
      <c r="J83" s="85"/>
      <c r="K83" s="85"/>
    </row>
    <row r="84" spans="1:11" x14ac:dyDescent="0.25">
      <c r="A84" s="100"/>
      <c r="B84" s="80" t="s">
        <v>81</v>
      </c>
      <c r="C84" s="62"/>
      <c r="D84" s="67"/>
      <c r="E84" s="80"/>
      <c r="F84" s="106"/>
      <c r="G84" s="73"/>
      <c r="H84" s="106"/>
      <c r="I84" s="85"/>
      <c r="J84" s="85"/>
      <c r="K84" s="85"/>
    </row>
    <row r="85" spans="1:11" x14ac:dyDescent="0.25">
      <c r="A85" s="91">
        <v>24</v>
      </c>
      <c r="B85" s="9" t="s">
        <v>66</v>
      </c>
      <c r="C85" s="56">
        <v>118.61</v>
      </c>
      <c r="D85" s="64">
        <v>120</v>
      </c>
      <c r="E85" s="14">
        <v>110</v>
      </c>
      <c r="F85" s="103">
        <f>1.73*115*380/1000</f>
        <v>75.600999999999999</v>
      </c>
      <c r="G85" s="79">
        <f>17862/744000</f>
        <v>2.4008064516129031E-2</v>
      </c>
      <c r="H85" s="103">
        <f t="shared" si="1"/>
        <v>75.576991935483875</v>
      </c>
      <c r="I85" s="85"/>
      <c r="J85" s="85"/>
      <c r="K85" s="85"/>
    </row>
    <row r="86" spans="1:11" x14ac:dyDescent="0.25">
      <c r="A86" s="93">
        <v>25</v>
      </c>
      <c r="B86" s="10" t="s">
        <v>82</v>
      </c>
      <c r="C86" s="57">
        <v>48.3</v>
      </c>
      <c r="D86" s="65">
        <v>185</v>
      </c>
      <c r="E86" s="11">
        <v>110</v>
      </c>
      <c r="F86" s="104">
        <f>1.73*115*510/1000</f>
        <v>101.4645</v>
      </c>
      <c r="G86" s="94">
        <f>2271720/744000</f>
        <v>3.0533870967741934</v>
      </c>
      <c r="H86" s="104">
        <f t="shared" si="1"/>
        <v>98.411112903225813</v>
      </c>
      <c r="I86" s="85"/>
      <c r="J86" s="85"/>
      <c r="K86" s="85"/>
    </row>
    <row r="87" spans="1:11" x14ac:dyDescent="0.25">
      <c r="A87" s="96">
        <v>26</v>
      </c>
      <c r="B87" s="12" t="s">
        <v>83</v>
      </c>
      <c r="C87" s="63">
        <v>30.5</v>
      </c>
      <c r="D87" s="66">
        <v>50</v>
      </c>
      <c r="E87" s="13">
        <v>35</v>
      </c>
      <c r="F87" s="105">
        <f>1.73*37*210/1000</f>
        <v>13.4421</v>
      </c>
      <c r="G87" s="55">
        <f>934290/744000</f>
        <v>1.2557661290322581</v>
      </c>
      <c r="H87" s="105">
        <f t="shared" si="1"/>
        <v>12.186333870967742</v>
      </c>
      <c r="I87" s="85"/>
      <c r="J87" s="85"/>
      <c r="K87" s="85"/>
    </row>
    <row r="88" spans="1:11" x14ac:dyDescent="0.25">
      <c r="A88" s="100"/>
      <c r="B88" s="80" t="s">
        <v>84</v>
      </c>
      <c r="C88" s="60"/>
      <c r="D88" s="67"/>
      <c r="E88" s="80"/>
      <c r="F88" s="106"/>
      <c r="G88" s="73"/>
      <c r="H88" s="106"/>
      <c r="I88" s="85"/>
      <c r="J88" s="85"/>
      <c r="K88" s="85"/>
    </row>
    <row r="89" spans="1:11" x14ac:dyDescent="0.25">
      <c r="A89" s="91">
        <v>27</v>
      </c>
      <c r="B89" s="9" t="s">
        <v>85</v>
      </c>
      <c r="C89" s="56">
        <v>38.4</v>
      </c>
      <c r="D89" s="64">
        <v>120</v>
      </c>
      <c r="E89" s="14">
        <v>110</v>
      </c>
      <c r="F89" s="103">
        <f>1.73*115*380/1000</f>
        <v>75.600999999999999</v>
      </c>
      <c r="G89" s="79">
        <f>3460336/744000</f>
        <v>4.6509892473118279</v>
      </c>
      <c r="H89" s="103">
        <f t="shared" si="1"/>
        <v>70.950010752688172</v>
      </c>
      <c r="I89" s="85"/>
      <c r="J89" s="85"/>
      <c r="K89" s="85"/>
    </row>
    <row r="90" spans="1:11" x14ac:dyDescent="0.25">
      <c r="A90" s="96">
        <v>28</v>
      </c>
      <c r="B90" s="12" t="s">
        <v>86</v>
      </c>
      <c r="C90" s="59">
        <v>1.6</v>
      </c>
      <c r="D90" s="66">
        <v>70</v>
      </c>
      <c r="E90" s="13">
        <v>35</v>
      </c>
      <c r="F90" s="105">
        <f>1.73*37*265/1000</f>
        <v>16.96265</v>
      </c>
      <c r="G90" s="55">
        <f>7345/744000</f>
        <v>9.8723118279569894E-3</v>
      </c>
      <c r="H90" s="110" t="s">
        <v>106</v>
      </c>
      <c r="I90" s="85"/>
      <c r="J90" s="85"/>
      <c r="K90" s="85"/>
    </row>
    <row r="91" spans="1:11" x14ac:dyDescent="0.25">
      <c r="A91" s="100"/>
      <c r="B91" s="80" t="s">
        <v>87</v>
      </c>
      <c r="C91" s="62"/>
      <c r="D91" s="67"/>
      <c r="E91" s="80"/>
      <c r="F91" s="106"/>
      <c r="G91" s="73"/>
      <c r="H91" s="106"/>
      <c r="I91" s="85"/>
      <c r="J91" s="85"/>
      <c r="K91" s="85"/>
    </row>
    <row r="92" spans="1:11" x14ac:dyDescent="0.25">
      <c r="A92" s="100">
        <v>29</v>
      </c>
      <c r="B92" s="4" t="s">
        <v>88</v>
      </c>
      <c r="C92" s="60">
        <v>45.2</v>
      </c>
      <c r="D92" s="67">
        <v>70</v>
      </c>
      <c r="E92" s="15">
        <v>35</v>
      </c>
      <c r="F92" s="108">
        <f>1.73*37*265/1000</f>
        <v>16.96265</v>
      </c>
      <c r="G92" s="73">
        <f>95767/744000</f>
        <v>0.12871908602150536</v>
      </c>
      <c r="H92" s="108">
        <f t="shared" si="1"/>
        <v>16.833930913978495</v>
      </c>
      <c r="I92" s="85"/>
      <c r="J92" s="85"/>
      <c r="K92" s="85"/>
    </row>
    <row r="93" spans="1:11" x14ac:dyDescent="0.25">
      <c r="A93" s="100"/>
      <c r="B93" s="80" t="s">
        <v>89</v>
      </c>
      <c r="C93" s="62"/>
      <c r="D93" s="67"/>
      <c r="E93" s="80"/>
      <c r="F93" s="106"/>
      <c r="G93" s="73"/>
      <c r="H93" s="106"/>
      <c r="I93" s="85"/>
      <c r="J93" s="85"/>
      <c r="K93" s="85"/>
    </row>
    <row r="94" spans="1:11" x14ac:dyDescent="0.25">
      <c r="A94" s="100">
        <v>30</v>
      </c>
      <c r="B94" s="4" t="s">
        <v>90</v>
      </c>
      <c r="C94" s="60">
        <v>65</v>
      </c>
      <c r="D94" s="67" t="s">
        <v>108</v>
      </c>
      <c r="E94" s="15">
        <v>35</v>
      </c>
      <c r="F94" s="108">
        <f>1.73*37*265/1000</f>
        <v>16.96265</v>
      </c>
      <c r="G94" s="73">
        <f>587510/744000</f>
        <v>0.78966397849462366</v>
      </c>
      <c r="H94" s="108">
        <f t="shared" si="1"/>
        <v>16.172986021505377</v>
      </c>
      <c r="I94" s="85"/>
      <c r="J94" s="85"/>
      <c r="K94" s="85"/>
    </row>
    <row r="95" spans="1:11" x14ac:dyDescent="0.25">
      <c r="A95" s="100"/>
      <c r="B95" s="80" t="s">
        <v>91</v>
      </c>
      <c r="C95" s="60"/>
      <c r="D95" s="67"/>
      <c r="E95" s="80"/>
      <c r="F95" s="106"/>
      <c r="G95" s="73"/>
      <c r="H95" s="106"/>
      <c r="I95" s="85"/>
      <c r="J95" s="85"/>
      <c r="K95" s="85"/>
    </row>
    <row r="96" spans="1:11" x14ac:dyDescent="0.25">
      <c r="A96" s="91">
        <v>31</v>
      </c>
      <c r="B96" s="9" t="s">
        <v>92</v>
      </c>
      <c r="C96" s="56">
        <v>71.2</v>
      </c>
      <c r="D96" s="64">
        <v>70</v>
      </c>
      <c r="E96" s="14">
        <v>35</v>
      </c>
      <c r="F96" s="103">
        <f>1.73*37*265/1000</f>
        <v>16.96265</v>
      </c>
      <c r="G96" s="79">
        <f>3795/744000</f>
        <v>5.1008064516129036E-3</v>
      </c>
      <c r="H96" s="103">
        <f t="shared" si="1"/>
        <v>16.957549193548388</v>
      </c>
      <c r="I96" s="85"/>
      <c r="J96" s="85"/>
      <c r="K96" s="85"/>
    </row>
    <row r="97" spans="1:11" x14ac:dyDescent="0.25">
      <c r="A97" s="96">
        <v>32</v>
      </c>
      <c r="B97" s="12" t="s">
        <v>93</v>
      </c>
      <c r="C97" s="81">
        <v>38.6</v>
      </c>
      <c r="D97" s="111">
        <v>95</v>
      </c>
      <c r="E97" s="13">
        <v>35</v>
      </c>
      <c r="F97" s="105">
        <f>1.73*37*330/1000</f>
        <v>21.123300000000004</v>
      </c>
      <c r="G97" s="55">
        <f>10411/744000</f>
        <v>1.3993279569892473E-2</v>
      </c>
      <c r="H97" s="105">
        <f t="shared" si="1"/>
        <v>21.109306720430112</v>
      </c>
      <c r="I97" s="85"/>
      <c r="J97" s="85"/>
      <c r="K97" s="85"/>
    </row>
    <row r="98" spans="1:11" x14ac:dyDescent="0.25">
      <c r="A98" s="100"/>
      <c r="B98" s="80" t="s">
        <v>94</v>
      </c>
      <c r="C98" s="82"/>
      <c r="D98" s="112"/>
      <c r="E98" s="80"/>
      <c r="F98" s="106"/>
      <c r="G98" s="73"/>
      <c r="H98" s="106"/>
      <c r="I98" s="85"/>
      <c r="J98" s="85"/>
      <c r="K98" s="85"/>
    </row>
    <row r="99" spans="1:11" x14ac:dyDescent="0.25">
      <c r="A99" s="100">
        <v>33</v>
      </c>
      <c r="B99" s="4" t="s">
        <v>95</v>
      </c>
      <c r="C99" s="82">
        <v>17.7</v>
      </c>
      <c r="D99" s="112">
        <v>70</v>
      </c>
      <c r="E99" s="15">
        <v>35</v>
      </c>
      <c r="F99" s="108">
        <f>1.73*37*265/1000</f>
        <v>16.96265</v>
      </c>
      <c r="G99" s="73">
        <f>6279/744000</f>
        <v>8.4395161290322582E-3</v>
      </c>
      <c r="H99" s="108">
        <f t="shared" si="1"/>
        <v>16.954210483870966</v>
      </c>
      <c r="I99" s="85"/>
      <c r="J99" s="85"/>
      <c r="K99" s="85"/>
    </row>
    <row r="100" spans="1:11" x14ac:dyDescent="0.25">
      <c r="A100" s="100"/>
      <c r="B100" s="80" t="s">
        <v>96</v>
      </c>
      <c r="C100" s="82"/>
      <c r="D100" s="112"/>
      <c r="E100" s="80"/>
      <c r="F100" s="106"/>
      <c r="G100" s="73"/>
      <c r="H100" s="106"/>
      <c r="I100" s="85"/>
      <c r="J100" s="85"/>
      <c r="K100" s="85"/>
    </row>
    <row r="101" spans="1:11" x14ac:dyDescent="0.25">
      <c r="A101" s="100">
        <v>34</v>
      </c>
      <c r="B101" s="4" t="s">
        <v>97</v>
      </c>
      <c r="C101" s="82">
        <v>19.5</v>
      </c>
      <c r="D101" s="112">
        <v>95</v>
      </c>
      <c r="E101" s="15">
        <v>35</v>
      </c>
      <c r="F101" s="108">
        <f>1.73*37*330/1000</f>
        <v>21.123300000000004</v>
      </c>
      <c r="G101" s="73">
        <f>357994/744000</f>
        <v>0.48117473118279569</v>
      </c>
      <c r="H101" s="108">
        <f t="shared" si="1"/>
        <v>20.642125268817207</v>
      </c>
      <c r="I101" s="85"/>
      <c r="J101" s="85"/>
      <c r="K101" s="85"/>
    </row>
    <row r="102" spans="1:11" x14ac:dyDescent="0.25">
      <c r="A102" s="100"/>
      <c r="B102" s="80" t="s">
        <v>98</v>
      </c>
      <c r="C102" s="82"/>
      <c r="D102" s="112"/>
      <c r="E102" s="80"/>
      <c r="F102" s="106"/>
      <c r="G102" s="73"/>
      <c r="H102" s="106"/>
      <c r="I102" s="85"/>
      <c r="J102" s="85"/>
      <c r="K102" s="85"/>
    </row>
    <row r="103" spans="1:11" x14ac:dyDescent="0.25">
      <c r="A103" s="91">
        <v>35</v>
      </c>
      <c r="B103" s="9" t="s">
        <v>99</v>
      </c>
      <c r="C103" s="83">
        <v>28.96</v>
      </c>
      <c r="D103" s="113">
        <v>70</v>
      </c>
      <c r="E103" s="14">
        <v>35</v>
      </c>
      <c r="F103" s="103">
        <f>1.73*37*265/1000</f>
        <v>16.96265</v>
      </c>
      <c r="G103" s="79">
        <f>31150/744000</f>
        <v>4.1868279569892475E-2</v>
      </c>
      <c r="H103" s="103">
        <f t="shared" si="1"/>
        <v>16.920781720430107</v>
      </c>
      <c r="I103" s="85"/>
      <c r="J103" s="85"/>
      <c r="K103" s="85"/>
    </row>
    <row r="104" spans="1:11" x14ac:dyDescent="0.25">
      <c r="A104" s="93">
        <v>36</v>
      </c>
      <c r="B104" s="10" t="s">
        <v>100</v>
      </c>
      <c r="C104" s="84">
        <v>15</v>
      </c>
      <c r="D104" s="114">
        <v>70</v>
      </c>
      <c r="E104" s="11">
        <v>35</v>
      </c>
      <c r="F104" s="104">
        <f>1.73*37*265/1000</f>
        <v>16.96265</v>
      </c>
      <c r="G104" s="94">
        <f>233548/744000</f>
        <v>0.31390860215053762</v>
      </c>
      <c r="H104" s="104">
        <f t="shared" si="1"/>
        <v>16.648741397849463</v>
      </c>
      <c r="I104" s="85"/>
      <c r="J104" s="85"/>
      <c r="K104" s="85"/>
    </row>
    <row r="105" spans="1:11" x14ac:dyDescent="0.25">
      <c r="A105" s="96">
        <v>37</v>
      </c>
      <c r="B105" s="12" t="s">
        <v>101</v>
      </c>
      <c r="C105" s="81">
        <v>35.26</v>
      </c>
      <c r="D105" s="111">
        <v>70</v>
      </c>
      <c r="E105" s="13">
        <v>35</v>
      </c>
      <c r="F105" s="105">
        <f>1.73*37*265/1000</f>
        <v>16.96265</v>
      </c>
      <c r="G105" s="55">
        <f>492555/744000</f>
        <v>0.6620362903225806</v>
      </c>
      <c r="H105" s="105">
        <f t="shared" si="1"/>
        <v>16.300613709677421</v>
      </c>
      <c r="I105" s="85"/>
      <c r="J105" s="85"/>
      <c r="K105" s="85"/>
    </row>
    <row r="106" spans="1:11" x14ac:dyDescent="0.25">
      <c r="A106" s="100"/>
      <c r="B106" s="80" t="s">
        <v>102</v>
      </c>
      <c r="C106" s="82"/>
      <c r="D106" s="112"/>
      <c r="E106" s="80"/>
      <c r="F106" s="106"/>
      <c r="G106" s="73"/>
      <c r="H106" s="106"/>
      <c r="I106" s="85"/>
      <c r="J106" s="85"/>
      <c r="K106" s="85"/>
    </row>
    <row r="107" spans="1:11" x14ac:dyDescent="0.25">
      <c r="A107" s="91">
        <v>38</v>
      </c>
      <c r="B107" s="9" t="s">
        <v>103</v>
      </c>
      <c r="C107" s="83">
        <v>40.75</v>
      </c>
      <c r="D107" s="113">
        <v>70</v>
      </c>
      <c r="E107" s="14">
        <v>35</v>
      </c>
      <c r="F107" s="103">
        <f>1.73*37*265/1000</f>
        <v>16.96265</v>
      </c>
      <c r="G107" s="79">
        <f>112959/744000</f>
        <v>0.1518266129032258</v>
      </c>
      <c r="H107" s="103">
        <f t="shared" si="1"/>
        <v>16.810823387096775</v>
      </c>
      <c r="I107" s="85"/>
      <c r="J107" s="85"/>
      <c r="K107" s="85"/>
    </row>
    <row r="108" spans="1:11" x14ac:dyDescent="0.25">
      <c r="A108" s="96">
        <v>39</v>
      </c>
      <c r="B108" s="12" t="s">
        <v>104</v>
      </c>
      <c r="C108" s="81">
        <v>38.14</v>
      </c>
      <c r="D108" s="111">
        <v>120</v>
      </c>
      <c r="E108" s="13">
        <v>35</v>
      </c>
      <c r="F108" s="105">
        <f>1.73*37*380/1000</f>
        <v>24.323800000000002</v>
      </c>
      <c r="G108" s="55">
        <f>88893/744000</f>
        <v>0.11947983870967742</v>
      </c>
      <c r="H108" s="105">
        <f t="shared" si="1"/>
        <v>24.204320161290326</v>
      </c>
      <c r="I108" s="85"/>
      <c r="J108" s="85"/>
      <c r="K108" s="85"/>
    </row>
    <row r="109" spans="1:11" x14ac:dyDescent="0.25">
      <c r="A109" s="86"/>
      <c r="B109" s="85"/>
      <c r="C109" s="85"/>
      <c r="D109" s="85"/>
      <c r="E109" s="86"/>
      <c r="F109" s="85"/>
      <c r="G109" s="87"/>
      <c r="H109" s="88"/>
      <c r="I109" s="85"/>
      <c r="J109" s="85"/>
      <c r="K109" s="85"/>
    </row>
    <row r="110" spans="1:11" x14ac:dyDescent="0.25">
      <c r="A110" s="86"/>
      <c r="B110" s="85"/>
      <c r="C110" s="85"/>
      <c r="D110" s="85"/>
      <c r="E110" s="86"/>
      <c r="F110" s="85"/>
      <c r="G110" s="87"/>
      <c r="H110" s="88"/>
      <c r="I110" s="85"/>
      <c r="J110" s="85"/>
      <c r="K110" s="85"/>
    </row>
    <row r="111" spans="1:11" x14ac:dyDescent="0.25">
      <c r="A111" s="86"/>
      <c r="B111" s="85"/>
      <c r="C111" s="85"/>
      <c r="D111" s="85"/>
      <c r="E111" s="86"/>
      <c r="F111" s="85"/>
      <c r="G111" s="87"/>
      <c r="H111" s="88"/>
      <c r="I111" s="85"/>
      <c r="J111" s="85"/>
      <c r="K111" s="85"/>
    </row>
    <row r="112" spans="1:11" x14ac:dyDescent="0.25">
      <c r="A112" s="86"/>
      <c r="B112" s="85"/>
      <c r="C112" s="85"/>
      <c r="D112" s="85"/>
      <c r="E112" s="86"/>
      <c r="F112" s="85"/>
      <c r="G112" s="87"/>
      <c r="H112" s="88"/>
      <c r="I112" s="85"/>
      <c r="J112" s="85"/>
      <c r="K112" s="85"/>
    </row>
    <row r="113" spans="1:11" x14ac:dyDescent="0.25">
      <c r="A113" s="86"/>
      <c r="B113" s="85"/>
      <c r="C113" s="85"/>
      <c r="D113" s="85"/>
      <c r="E113" s="86"/>
      <c r="F113" s="85"/>
      <c r="G113" s="87"/>
      <c r="H113" s="88"/>
      <c r="I113" s="85"/>
      <c r="J113" s="85"/>
      <c r="K113" s="85"/>
    </row>
    <row r="114" spans="1:11" x14ac:dyDescent="0.25">
      <c r="A114" s="86"/>
      <c r="B114" s="85"/>
      <c r="C114" s="85"/>
      <c r="D114" s="85"/>
      <c r="E114" s="86"/>
      <c r="F114" s="85"/>
      <c r="G114" s="87"/>
      <c r="H114" s="88"/>
      <c r="I114" s="85"/>
      <c r="J114" s="85"/>
      <c r="K114" s="85"/>
    </row>
    <row r="115" spans="1:11" x14ac:dyDescent="0.25">
      <c r="A115" s="86"/>
      <c r="B115" s="85"/>
      <c r="C115" s="85"/>
      <c r="D115" s="85"/>
      <c r="E115" s="86"/>
      <c r="F115" s="85"/>
      <c r="G115" s="87"/>
      <c r="H115" s="88"/>
      <c r="I115" s="85"/>
      <c r="J115" s="85"/>
      <c r="K115" s="85"/>
    </row>
    <row r="116" spans="1:11" x14ac:dyDescent="0.25">
      <c r="A116" s="86"/>
      <c r="B116" s="85"/>
      <c r="C116" s="85"/>
      <c r="D116" s="85"/>
      <c r="E116" s="86"/>
      <c r="F116" s="85"/>
      <c r="G116" s="87"/>
      <c r="H116" s="88"/>
      <c r="I116" s="85"/>
      <c r="J116" s="85"/>
      <c r="K116" s="85"/>
    </row>
    <row r="117" spans="1:11" x14ac:dyDescent="0.25">
      <c r="A117" s="86"/>
      <c r="B117" s="85"/>
      <c r="C117" s="85"/>
      <c r="D117" s="85"/>
      <c r="E117" s="86"/>
      <c r="F117" s="85"/>
      <c r="G117" s="87"/>
      <c r="H117" s="88"/>
      <c r="I117" s="85"/>
      <c r="J117" s="85"/>
      <c r="K117" s="85"/>
    </row>
    <row r="118" spans="1:11" x14ac:dyDescent="0.25">
      <c r="A118" s="86"/>
      <c r="B118" s="85"/>
      <c r="C118" s="85"/>
      <c r="D118" s="85"/>
      <c r="E118" s="86"/>
      <c r="F118" s="85"/>
      <c r="G118" s="87"/>
      <c r="H118" s="88"/>
      <c r="I118" s="85"/>
      <c r="J118" s="85"/>
      <c r="K118" s="85"/>
    </row>
    <row r="119" spans="1:11" x14ac:dyDescent="0.25">
      <c r="A119" s="86"/>
      <c r="B119" s="85"/>
      <c r="C119" s="85"/>
      <c r="D119" s="85"/>
      <c r="E119" s="86"/>
      <c r="F119" s="85"/>
      <c r="G119" s="87"/>
      <c r="H119" s="88"/>
      <c r="I119" s="85"/>
      <c r="J119" s="85"/>
      <c r="K119" s="85"/>
    </row>
    <row r="120" spans="1:11" x14ac:dyDescent="0.25">
      <c r="A120" s="86"/>
      <c r="B120" s="85"/>
      <c r="C120" s="85"/>
      <c r="D120" s="85"/>
      <c r="E120" s="86"/>
      <c r="F120" s="85"/>
      <c r="G120" s="87"/>
      <c r="H120" s="88"/>
      <c r="I120" s="85"/>
      <c r="J120" s="85"/>
      <c r="K120" s="85"/>
    </row>
    <row r="121" spans="1:11" x14ac:dyDescent="0.25">
      <c r="A121" s="86"/>
      <c r="B121" s="85"/>
      <c r="C121" s="85"/>
      <c r="D121" s="85"/>
      <c r="E121" s="86"/>
      <c r="F121" s="85"/>
      <c r="G121" s="87"/>
      <c r="H121" s="88"/>
      <c r="I121" s="85"/>
      <c r="J121" s="85"/>
      <c r="K121" s="85"/>
    </row>
    <row r="122" spans="1:11" x14ac:dyDescent="0.25">
      <c r="A122" s="86"/>
      <c r="B122" s="85"/>
      <c r="C122" s="85"/>
      <c r="D122" s="85"/>
      <c r="E122" s="86"/>
      <c r="F122" s="85"/>
      <c r="G122" s="87"/>
      <c r="H122" s="88"/>
      <c r="I122" s="85"/>
      <c r="J122" s="85"/>
      <c r="K122" s="85"/>
    </row>
    <row r="123" spans="1:11" x14ac:dyDescent="0.25">
      <c r="A123" s="86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6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6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6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6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6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6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6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6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6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6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6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6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6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6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6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6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6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6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6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6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6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6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6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6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6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6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6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6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6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6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6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6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6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6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6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6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6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6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6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6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6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6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6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6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6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6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6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6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6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6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6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6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6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6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6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6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6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6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6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6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6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6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6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6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6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6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6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6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6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6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6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6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6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6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6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6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6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6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6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6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6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6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6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6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6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6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6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6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6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6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6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6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6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6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6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6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6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6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6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6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6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6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6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6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6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6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6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6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6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6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6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6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6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6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6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6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6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6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6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6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6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6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6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6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6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6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6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6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6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6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6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6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6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6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6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6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6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6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6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6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6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6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6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6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6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6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6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6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6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6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6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6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6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6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6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6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6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6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6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6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6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6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6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6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6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6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6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6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6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6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6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6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6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6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6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6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6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6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6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6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6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6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6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6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6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6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6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6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6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6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6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6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6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6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6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6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6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6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6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6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6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6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6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6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6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6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6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6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6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6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6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6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6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6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7"/>
  <sheetViews>
    <sheetView tabSelected="1" workbookViewId="0">
      <selection activeCell="A4" sqref="A4:H4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23.140625" style="39" customWidth="1"/>
    <col min="9" max="16384" width="9.140625" style="1"/>
  </cols>
  <sheetData>
    <row r="1" spans="1:11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11" x14ac:dyDescent="0.25">
      <c r="A2" s="115" t="s">
        <v>1</v>
      </c>
      <c r="B2" s="115"/>
      <c r="C2" s="115"/>
      <c r="D2" s="115"/>
      <c r="E2" s="115"/>
      <c r="F2" s="115"/>
      <c r="G2" s="115"/>
      <c r="H2" s="115"/>
    </row>
    <row r="4" spans="1:11" x14ac:dyDescent="0.25">
      <c r="A4" s="115" t="s">
        <v>2</v>
      </c>
      <c r="B4" s="115"/>
      <c r="C4" s="115"/>
      <c r="D4" s="115"/>
      <c r="E4" s="115"/>
      <c r="F4" s="115"/>
      <c r="G4" s="115"/>
      <c r="H4" s="115"/>
    </row>
    <row r="6" spans="1:11" x14ac:dyDescent="0.25">
      <c r="A6" s="116" t="s">
        <v>3</v>
      </c>
      <c r="B6" s="116"/>
      <c r="C6" s="116"/>
      <c r="D6" s="116"/>
      <c r="E6" s="116"/>
      <c r="F6" s="116"/>
      <c r="G6" s="116"/>
      <c r="H6" s="116"/>
      <c r="I6" s="85"/>
      <c r="J6" s="85"/>
      <c r="K6" s="85"/>
    </row>
    <row r="7" spans="1:11" x14ac:dyDescent="0.25">
      <c r="A7" s="86"/>
      <c r="B7" s="85"/>
      <c r="C7" s="85"/>
      <c r="D7" s="85"/>
      <c r="E7" s="86"/>
      <c r="F7" s="85"/>
      <c r="G7" s="87"/>
      <c r="H7" s="88"/>
      <c r="I7" s="85"/>
      <c r="J7" s="85"/>
      <c r="K7" s="85"/>
    </row>
    <row r="8" spans="1:11" s="2" customFormat="1" ht="47.25" x14ac:dyDescent="0.25">
      <c r="A8" s="76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89" t="s">
        <v>128</v>
      </c>
      <c r="H8" s="89" t="s">
        <v>10</v>
      </c>
      <c r="I8" s="90"/>
      <c r="J8" s="90"/>
      <c r="K8" s="90"/>
    </row>
    <row r="9" spans="1:11" x14ac:dyDescent="0.25">
      <c r="A9" s="91">
        <v>1</v>
      </c>
      <c r="B9" s="9" t="s">
        <v>11</v>
      </c>
      <c r="C9" s="14" t="s">
        <v>12</v>
      </c>
      <c r="D9" s="14" t="s">
        <v>110</v>
      </c>
      <c r="E9" s="91" t="s">
        <v>40</v>
      </c>
      <c r="F9" s="14">
        <v>25000</v>
      </c>
      <c r="G9" s="79">
        <v>0</v>
      </c>
      <c r="H9" s="92" t="s">
        <v>106</v>
      </c>
      <c r="I9" s="85"/>
      <c r="J9" s="85"/>
      <c r="K9" s="85"/>
    </row>
    <row r="10" spans="1:11" x14ac:dyDescent="0.25">
      <c r="A10" s="93"/>
      <c r="B10" s="10"/>
      <c r="C10" s="11" t="s">
        <v>13</v>
      </c>
      <c r="D10" s="11" t="s">
        <v>110</v>
      </c>
      <c r="E10" s="93" t="s">
        <v>40</v>
      </c>
      <c r="F10" s="11">
        <v>25000</v>
      </c>
      <c r="G10" s="94">
        <v>0</v>
      </c>
      <c r="H10" s="95" t="s">
        <v>106</v>
      </c>
      <c r="I10" s="85"/>
      <c r="J10" s="85"/>
      <c r="K10" s="85"/>
    </row>
    <row r="11" spans="1:11" x14ac:dyDescent="0.25">
      <c r="A11" s="96"/>
      <c r="B11" s="12"/>
      <c r="C11" s="13" t="s">
        <v>14</v>
      </c>
      <c r="D11" s="13" t="s">
        <v>110</v>
      </c>
      <c r="E11" s="96" t="s">
        <v>41</v>
      </c>
      <c r="F11" s="13">
        <v>2500</v>
      </c>
      <c r="G11" s="79">
        <v>3.3000000000000002E-2</v>
      </c>
      <c r="H11" s="97">
        <f>F11/1000-G11</f>
        <v>2.4670000000000001</v>
      </c>
      <c r="I11" s="85"/>
      <c r="J11" s="85"/>
      <c r="K11" s="85"/>
    </row>
    <row r="12" spans="1:11" x14ac:dyDescent="0.25">
      <c r="A12" s="91">
        <v>2</v>
      </c>
      <c r="B12" s="9" t="s">
        <v>15</v>
      </c>
      <c r="C12" s="14" t="s">
        <v>12</v>
      </c>
      <c r="D12" s="14" t="s">
        <v>111</v>
      </c>
      <c r="E12" s="91" t="s">
        <v>43</v>
      </c>
      <c r="F12" s="14">
        <v>16000</v>
      </c>
      <c r="G12" s="79">
        <f>4275678/744000</f>
        <v>5.7468790322580645</v>
      </c>
      <c r="H12" s="92">
        <f t="shared" ref="H12:H49" si="0">F12/1000-G12</f>
        <v>10.253120967741935</v>
      </c>
      <c r="I12" s="85"/>
      <c r="J12" s="85"/>
      <c r="K12" s="85"/>
    </row>
    <row r="13" spans="1:11" x14ac:dyDescent="0.25">
      <c r="A13" s="96"/>
      <c r="B13" s="12"/>
      <c r="C13" s="13" t="s">
        <v>13</v>
      </c>
      <c r="D13" s="13" t="s">
        <v>111</v>
      </c>
      <c r="E13" s="96" t="s">
        <v>43</v>
      </c>
      <c r="F13" s="13">
        <v>16000</v>
      </c>
      <c r="G13" s="55">
        <f>643698/744000</f>
        <v>0.86518548387096772</v>
      </c>
      <c r="H13" s="97">
        <f t="shared" si="0"/>
        <v>15.134814516129032</v>
      </c>
      <c r="I13" s="85"/>
      <c r="J13" s="85"/>
      <c r="K13" s="85"/>
    </row>
    <row r="14" spans="1:11" x14ac:dyDescent="0.25">
      <c r="A14" s="98">
        <v>3</v>
      </c>
      <c r="B14" s="7" t="s">
        <v>16</v>
      </c>
      <c r="C14" s="72" t="s">
        <v>12</v>
      </c>
      <c r="D14" s="15" t="s">
        <v>110</v>
      </c>
      <c r="E14" s="98" t="s">
        <v>43</v>
      </c>
      <c r="F14" s="15">
        <v>10000</v>
      </c>
      <c r="G14" s="78">
        <f>20376/744000</f>
        <v>2.7387096774193549E-2</v>
      </c>
      <c r="H14" s="99">
        <f t="shared" si="0"/>
        <v>9.9726129032258068</v>
      </c>
      <c r="I14" s="85"/>
      <c r="J14" s="85"/>
      <c r="K14" s="85"/>
    </row>
    <row r="15" spans="1:11" x14ac:dyDescent="0.25">
      <c r="A15" s="100">
        <v>4</v>
      </c>
      <c r="B15" s="4" t="s">
        <v>17</v>
      </c>
      <c r="C15" s="15" t="s">
        <v>12</v>
      </c>
      <c r="D15" s="8" t="s">
        <v>110</v>
      </c>
      <c r="E15" s="100" t="s">
        <v>43</v>
      </c>
      <c r="F15" s="8">
        <v>10000</v>
      </c>
      <c r="G15" s="73">
        <f>7500/744000</f>
        <v>1.0080645161290322E-2</v>
      </c>
      <c r="H15" s="101">
        <f t="shared" si="0"/>
        <v>9.98991935483871</v>
      </c>
      <c r="I15" s="85"/>
      <c r="J15" s="85"/>
      <c r="K15" s="85"/>
    </row>
    <row r="16" spans="1:11" x14ac:dyDescent="0.25">
      <c r="A16" s="91">
        <v>5</v>
      </c>
      <c r="B16" s="9" t="s">
        <v>18</v>
      </c>
      <c r="C16" s="14" t="s">
        <v>12</v>
      </c>
      <c r="D16" s="14" t="s">
        <v>125</v>
      </c>
      <c r="E16" s="91" t="s">
        <v>43</v>
      </c>
      <c r="F16" s="14">
        <v>40000</v>
      </c>
      <c r="G16" s="79">
        <f>1616868/744000</f>
        <v>2.1732096774193548</v>
      </c>
      <c r="H16" s="92">
        <f t="shared" si="0"/>
        <v>37.826790322580642</v>
      </c>
      <c r="I16" s="85"/>
      <c r="J16" s="85"/>
      <c r="K16" s="85"/>
    </row>
    <row r="17" spans="1:11" x14ac:dyDescent="0.25">
      <c r="A17" s="96"/>
      <c r="B17" s="12"/>
      <c r="C17" s="13" t="s">
        <v>13</v>
      </c>
      <c r="D17" s="13" t="s">
        <v>125</v>
      </c>
      <c r="E17" s="96" t="s">
        <v>45</v>
      </c>
      <c r="F17" s="13">
        <v>5600</v>
      </c>
      <c r="G17" s="55">
        <f>(1012928+11200+4360+120)/744000</f>
        <v>1.3825376344086022</v>
      </c>
      <c r="H17" s="97">
        <f t="shared" si="0"/>
        <v>4.2174623655913974</v>
      </c>
      <c r="I17" s="85"/>
      <c r="J17" s="85"/>
      <c r="K17" s="85"/>
    </row>
    <row r="18" spans="1:11" x14ac:dyDescent="0.25">
      <c r="A18" s="91">
        <v>6</v>
      </c>
      <c r="B18" s="9" t="s">
        <v>19</v>
      </c>
      <c r="C18" s="14" t="s">
        <v>12</v>
      </c>
      <c r="D18" s="14" t="s">
        <v>112</v>
      </c>
      <c r="E18" s="91" t="s">
        <v>42</v>
      </c>
      <c r="F18" s="14">
        <v>20000</v>
      </c>
      <c r="G18" s="79">
        <f>184950/744000</f>
        <v>0.24858870967741936</v>
      </c>
      <c r="H18" s="95">
        <f>F18/1000-G18</f>
        <v>19.751411290322579</v>
      </c>
      <c r="I18" s="85"/>
      <c r="J18" s="85"/>
      <c r="K18" s="85"/>
    </row>
    <row r="19" spans="1:11" x14ac:dyDescent="0.25">
      <c r="A19" s="93"/>
      <c r="B19" s="10"/>
      <c r="C19" s="11" t="s">
        <v>13</v>
      </c>
      <c r="D19" s="11"/>
      <c r="E19" s="93" t="s">
        <v>42</v>
      </c>
      <c r="F19" s="11">
        <v>20000</v>
      </c>
      <c r="G19" s="94">
        <f>171030/744000</f>
        <v>0.22987903225806453</v>
      </c>
      <c r="H19" s="95">
        <f t="shared" si="0"/>
        <v>19.770120967741935</v>
      </c>
      <c r="I19" s="85"/>
      <c r="J19" s="85"/>
      <c r="K19" s="85"/>
    </row>
    <row r="20" spans="1:11" x14ac:dyDescent="0.25">
      <c r="A20" s="96"/>
      <c r="B20" s="12"/>
      <c r="C20" s="13" t="s">
        <v>14</v>
      </c>
      <c r="D20" s="13"/>
      <c r="E20" s="96" t="s">
        <v>43</v>
      </c>
      <c r="F20" s="13">
        <v>10000</v>
      </c>
      <c r="G20" s="55">
        <f>372442/744000</f>
        <v>0.50059408602150535</v>
      </c>
      <c r="H20" s="97">
        <f t="shared" si="0"/>
        <v>9.4994059139784941</v>
      </c>
      <c r="I20" s="85"/>
      <c r="J20" s="85"/>
      <c r="K20" s="85"/>
    </row>
    <row r="21" spans="1:11" x14ac:dyDescent="0.25">
      <c r="A21" s="91">
        <v>7</v>
      </c>
      <c r="B21" s="9" t="s">
        <v>20</v>
      </c>
      <c r="C21" s="14" t="s">
        <v>12</v>
      </c>
      <c r="D21" s="14" t="s">
        <v>111</v>
      </c>
      <c r="E21" s="91" t="s">
        <v>42</v>
      </c>
      <c r="F21" s="14">
        <v>16000</v>
      </c>
      <c r="G21" s="79">
        <f>84690/744000</f>
        <v>0.11383064516129032</v>
      </c>
      <c r="H21" s="95">
        <f t="shared" si="0"/>
        <v>15.88616935483871</v>
      </c>
      <c r="I21" s="85"/>
      <c r="J21" s="85"/>
      <c r="K21" s="85"/>
    </row>
    <row r="22" spans="1:11" x14ac:dyDescent="0.25">
      <c r="A22" s="96"/>
      <c r="B22" s="12"/>
      <c r="C22" s="13" t="s">
        <v>13</v>
      </c>
      <c r="D22" s="13"/>
      <c r="E22" s="96" t="s">
        <v>42</v>
      </c>
      <c r="F22" s="13">
        <v>16000</v>
      </c>
      <c r="G22" s="55">
        <f>15480/744000</f>
        <v>2.0806451612903225E-2</v>
      </c>
      <c r="H22" s="55">
        <f t="shared" si="0"/>
        <v>15.979193548387096</v>
      </c>
      <c r="I22" s="85"/>
      <c r="J22" s="85"/>
      <c r="K22" s="85"/>
    </row>
    <row r="23" spans="1:11" x14ac:dyDescent="0.25">
      <c r="A23" s="100">
        <v>8</v>
      </c>
      <c r="B23" s="4" t="s">
        <v>21</v>
      </c>
      <c r="C23" s="15" t="s">
        <v>12</v>
      </c>
      <c r="D23" s="6" t="s">
        <v>113</v>
      </c>
      <c r="E23" s="100" t="s">
        <v>42</v>
      </c>
      <c r="F23" s="6">
        <v>2500</v>
      </c>
      <c r="G23" s="73">
        <f>39900/744000</f>
        <v>5.3629032258064514E-2</v>
      </c>
      <c r="H23" s="101">
        <f t="shared" si="0"/>
        <v>2.4463709677419354</v>
      </c>
      <c r="I23" s="85"/>
      <c r="J23" s="85"/>
      <c r="K23" s="85"/>
    </row>
    <row r="24" spans="1:11" x14ac:dyDescent="0.25">
      <c r="A24" s="91">
        <v>9</v>
      </c>
      <c r="B24" s="9" t="s">
        <v>22</v>
      </c>
      <c r="C24" s="14" t="s">
        <v>12</v>
      </c>
      <c r="D24" s="14" t="s">
        <v>114</v>
      </c>
      <c r="E24" s="91" t="s">
        <v>43</v>
      </c>
      <c r="F24" s="14">
        <v>6300</v>
      </c>
      <c r="G24" s="79">
        <f>16640/744000</f>
        <v>2.2365591397849462E-2</v>
      </c>
      <c r="H24" s="79">
        <f t="shared" si="0"/>
        <v>6.2776344086021503</v>
      </c>
      <c r="I24" s="85"/>
      <c r="J24" s="85"/>
      <c r="K24" s="85"/>
    </row>
    <row r="25" spans="1:11" x14ac:dyDescent="0.25">
      <c r="A25" s="96"/>
      <c r="B25" s="12"/>
      <c r="C25" s="13" t="s">
        <v>13</v>
      </c>
      <c r="D25" s="13"/>
      <c r="E25" s="96" t="s">
        <v>43</v>
      </c>
      <c r="F25" s="13">
        <v>6300</v>
      </c>
      <c r="G25" s="55">
        <f>438312/744000</f>
        <v>0.58912903225806457</v>
      </c>
      <c r="H25" s="97">
        <f t="shared" si="0"/>
        <v>5.7108709677419354</v>
      </c>
      <c r="I25" s="85"/>
      <c r="J25" s="85"/>
      <c r="K25" s="85"/>
    </row>
    <row r="26" spans="1:11" x14ac:dyDescent="0.25">
      <c r="A26" s="91">
        <v>10</v>
      </c>
      <c r="B26" s="9" t="s">
        <v>23</v>
      </c>
      <c r="C26" s="14" t="s">
        <v>12</v>
      </c>
      <c r="D26" s="14" t="s">
        <v>111</v>
      </c>
      <c r="E26" s="91" t="s">
        <v>42</v>
      </c>
      <c r="F26" s="14">
        <v>16000</v>
      </c>
      <c r="G26" s="79">
        <f>1148220/744000</f>
        <v>1.5433064516129031</v>
      </c>
      <c r="H26" s="79">
        <f t="shared" si="0"/>
        <v>14.456693548387097</v>
      </c>
      <c r="I26" s="85"/>
      <c r="J26" s="85"/>
      <c r="K26" s="85"/>
    </row>
    <row r="27" spans="1:11" x14ac:dyDescent="0.25">
      <c r="A27" s="96"/>
      <c r="B27" s="12"/>
      <c r="C27" s="13" t="s">
        <v>13</v>
      </c>
      <c r="D27" s="13"/>
      <c r="E27" s="96" t="s">
        <v>42</v>
      </c>
      <c r="F27" s="13">
        <v>16000</v>
      </c>
      <c r="G27" s="55">
        <v>0</v>
      </c>
      <c r="H27" s="97" t="s">
        <v>106</v>
      </c>
      <c r="I27" s="85"/>
      <c r="J27" s="85"/>
      <c r="K27" s="85"/>
    </row>
    <row r="28" spans="1:11" ht="31.5" x14ac:dyDescent="0.25">
      <c r="A28" s="100">
        <v>11</v>
      </c>
      <c r="B28" s="4" t="s">
        <v>24</v>
      </c>
      <c r="C28" s="15" t="s">
        <v>12</v>
      </c>
      <c r="D28" s="74" t="s">
        <v>115</v>
      </c>
      <c r="E28" s="100" t="s">
        <v>42</v>
      </c>
      <c r="F28" s="15">
        <v>2500</v>
      </c>
      <c r="G28" s="73">
        <f>14030/744000</f>
        <v>1.8857526881720429E-2</v>
      </c>
      <c r="H28" s="101">
        <f t="shared" si="0"/>
        <v>2.4811424731182794</v>
      </c>
      <c r="I28" s="85"/>
      <c r="J28" s="85"/>
      <c r="K28" s="85"/>
    </row>
    <row r="29" spans="1:11" x14ac:dyDescent="0.25">
      <c r="A29" s="100">
        <v>12</v>
      </c>
      <c r="B29" s="4" t="s">
        <v>25</v>
      </c>
      <c r="C29" s="15" t="s">
        <v>12</v>
      </c>
      <c r="D29" s="8" t="s">
        <v>116</v>
      </c>
      <c r="E29" s="100" t="s">
        <v>42</v>
      </c>
      <c r="F29" s="8">
        <v>2500</v>
      </c>
      <c r="G29" s="73">
        <f>29012/744000</f>
        <v>3.8994623655913982E-2</v>
      </c>
      <c r="H29" s="101">
        <f t="shared" si="0"/>
        <v>2.4610053763440862</v>
      </c>
      <c r="I29" s="85"/>
      <c r="J29" s="85"/>
      <c r="K29" s="85"/>
    </row>
    <row r="30" spans="1:11" x14ac:dyDescent="0.25">
      <c r="A30" s="91">
        <v>13</v>
      </c>
      <c r="B30" s="9" t="s">
        <v>26</v>
      </c>
      <c r="C30" s="14" t="s">
        <v>12</v>
      </c>
      <c r="D30" s="14" t="s">
        <v>117</v>
      </c>
      <c r="E30" s="91" t="s">
        <v>43</v>
      </c>
      <c r="F30" s="14">
        <v>40000</v>
      </c>
      <c r="G30" s="79">
        <f>2032842/744000</f>
        <v>2.7323145161290321</v>
      </c>
      <c r="H30" s="92">
        <f t="shared" si="0"/>
        <v>37.26768548387097</v>
      </c>
      <c r="I30" s="85"/>
      <c r="J30" s="85"/>
      <c r="K30" s="85"/>
    </row>
    <row r="31" spans="1:11" x14ac:dyDescent="0.25">
      <c r="A31" s="96"/>
      <c r="B31" s="12"/>
      <c r="C31" s="13" t="s">
        <v>13</v>
      </c>
      <c r="D31" s="13"/>
      <c r="E31" s="96" t="s">
        <v>43</v>
      </c>
      <c r="F31" s="13">
        <v>20000</v>
      </c>
      <c r="G31" s="55">
        <f>5043696/744000</f>
        <v>6.7791612903225804</v>
      </c>
      <c r="H31" s="97">
        <f>F31/1000-G31</f>
        <v>13.22083870967742</v>
      </c>
      <c r="I31" s="85"/>
      <c r="J31" s="85"/>
      <c r="K31" s="85"/>
    </row>
    <row r="32" spans="1:11" ht="31.5" x14ac:dyDescent="0.25">
      <c r="A32" s="91">
        <v>14</v>
      </c>
      <c r="B32" s="9" t="s">
        <v>27</v>
      </c>
      <c r="C32" s="14" t="s">
        <v>12</v>
      </c>
      <c r="D32" s="75" t="s">
        <v>118</v>
      </c>
      <c r="E32" s="91" t="s">
        <v>42</v>
      </c>
      <c r="F32" s="14">
        <v>10000</v>
      </c>
      <c r="G32" s="79">
        <f>496668/744000</f>
        <v>0.66756451612903223</v>
      </c>
      <c r="H32" s="79">
        <f t="shared" si="0"/>
        <v>9.3324354838709684</v>
      </c>
      <c r="I32" s="85"/>
      <c r="J32" s="85"/>
      <c r="K32" s="85"/>
    </row>
    <row r="33" spans="1:11" x14ac:dyDescent="0.25">
      <c r="A33" s="96"/>
      <c r="B33" s="12"/>
      <c r="C33" s="13" t="s">
        <v>13</v>
      </c>
      <c r="D33" s="13"/>
      <c r="E33" s="96" t="s">
        <v>42</v>
      </c>
      <c r="F33" s="13">
        <v>10000</v>
      </c>
      <c r="G33" s="55">
        <f>119724/744000</f>
        <v>0.16091935483870967</v>
      </c>
      <c r="H33" s="79">
        <f t="shared" si="0"/>
        <v>9.8390806451612907</v>
      </c>
      <c r="I33" s="85"/>
      <c r="J33" s="85"/>
      <c r="K33" s="85"/>
    </row>
    <row r="34" spans="1:11" x14ac:dyDescent="0.25">
      <c r="A34" s="100">
        <v>15</v>
      </c>
      <c r="B34" s="4" t="s">
        <v>28</v>
      </c>
      <c r="C34" s="15" t="s">
        <v>12</v>
      </c>
      <c r="D34" s="6" t="s">
        <v>119</v>
      </c>
      <c r="E34" s="100" t="s">
        <v>44</v>
      </c>
      <c r="F34" s="6">
        <v>6300</v>
      </c>
      <c r="G34" s="73">
        <f>46224/744000</f>
        <v>6.2129032258064515E-2</v>
      </c>
      <c r="H34" s="101">
        <f t="shared" si="0"/>
        <v>6.2378709677419355</v>
      </c>
      <c r="I34" s="85"/>
      <c r="J34" s="85"/>
      <c r="K34" s="85"/>
    </row>
    <row r="35" spans="1:11" ht="47.25" x14ac:dyDescent="0.25">
      <c r="A35" s="91">
        <v>16</v>
      </c>
      <c r="B35" s="9" t="s">
        <v>29</v>
      </c>
      <c r="C35" s="14" t="s">
        <v>12</v>
      </c>
      <c r="D35" s="75" t="s">
        <v>127</v>
      </c>
      <c r="E35" s="91" t="s">
        <v>42</v>
      </c>
      <c r="F35" s="14">
        <v>6300</v>
      </c>
      <c r="G35" s="79">
        <v>0</v>
      </c>
      <c r="H35" s="92" t="s">
        <v>106</v>
      </c>
      <c r="I35" s="85"/>
      <c r="J35" s="85"/>
      <c r="K35" s="85"/>
    </row>
    <row r="36" spans="1:11" x14ac:dyDescent="0.25">
      <c r="A36" s="96"/>
      <c r="B36" s="12"/>
      <c r="C36" s="13" t="s">
        <v>13</v>
      </c>
      <c r="D36" s="13"/>
      <c r="E36" s="102" t="s">
        <v>47</v>
      </c>
      <c r="F36" s="13">
        <v>10000</v>
      </c>
      <c r="G36" s="55">
        <v>0</v>
      </c>
      <c r="H36" s="97" t="s">
        <v>106</v>
      </c>
      <c r="I36" s="85"/>
      <c r="J36" s="85"/>
      <c r="K36" s="85"/>
    </row>
    <row r="37" spans="1:11" x14ac:dyDescent="0.25">
      <c r="A37" s="91">
        <v>17</v>
      </c>
      <c r="B37" s="9" t="s">
        <v>30</v>
      </c>
      <c r="C37" s="14" t="s">
        <v>12</v>
      </c>
      <c r="D37" s="14" t="s">
        <v>126</v>
      </c>
      <c r="E37" s="91" t="s">
        <v>45</v>
      </c>
      <c r="F37" s="14">
        <v>5600</v>
      </c>
      <c r="G37" s="79">
        <f>62648/744000</f>
        <v>8.4204301075268814E-2</v>
      </c>
      <c r="H37" s="92">
        <f t="shared" si="0"/>
        <v>5.5157956989247312</v>
      </c>
      <c r="I37" s="85"/>
      <c r="J37" s="85"/>
      <c r="K37" s="85"/>
    </row>
    <row r="38" spans="1:11" x14ac:dyDescent="0.25">
      <c r="A38" s="96"/>
      <c r="B38" s="12"/>
      <c r="C38" s="13" t="s">
        <v>13</v>
      </c>
      <c r="D38" s="13"/>
      <c r="E38" s="96" t="s">
        <v>45</v>
      </c>
      <c r="F38" s="13">
        <v>5600</v>
      </c>
      <c r="G38" s="55">
        <v>0</v>
      </c>
      <c r="H38" s="97" t="s">
        <v>106</v>
      </c>
      <c r="I38" s="85"/>
      <c r="J38" s="85"/>
      <c r="K38" s="85"/>
    </row>
    <row r="39" spans="1:11" x14ac:dyDescent="0.25">
      <c r="A39" s="100">
        <v>18</v>
      </c>
      <c r="B39" s="4" t="s">
        <v>31</v>
      </c>
      <c r="C39" s="15" t="s">
        <v>12</v>
      </c>
      <c r="D39" s="6" t="s">
        <v>126</v>
      </c>
      <c r="E39" s="100" t="s">
        <v>45</v>
      </c>
      <c r="F39" s="6">
        <v>560</v>
      </c>
      <c r="G39" s="73">
        <f>4517/744000</f>
        <v>6.0712365591397846E-3</v>
      </c>
      <c r="H39" s="101">
        <f t="shared" si="0"/>
        <v>0.55392876344086028</v>
      </c>
      <c r="I39" s="85"/>
      <c r="J39" s="85"/>
      <c r="K39" s="85"/>
    </row>
    <row r="40" spans="1:11" x14ac:dyDescent="0.25">
      <c r="A40" s="91">
        <v>19</v>
      </c>
      <c r="B40" s="9" t="s">
        <v>32</v>
      </c>
      <c r="C40" s="14" t="s">
        <v>12</v>
      </c>
      <c r="D40" s="14" t="s">
        <v>125</v>
      </c>
      <c r="E40" s="91" t="s">
        <v>45</v>
      </c>
      <c r="F40" s="14">
        <v>2500</v>
      </c>
      <c r="G40" s="79">
        <v>0</v>
      </c>
      <c r="H40" s="92" t="s">
        <v>106</v>
      </c>
      <c r="I40" s="85"/>
      <c r="J40" s="85"/>
      <c r="K40" s="85"/>
    </row>
    <row r="41" spans="1:11" x14ac:dyDescent="0.25">
      <c r="A41" s="96"/>
      <c r="B41" s="12"/>
      <c r="C41" s="13" t="s">
        <v>13</v>
      </c>
      <c r="D41" s="13" t="s">
        <v>125</v>
      </c>
      <c r="E41" s="96" t="s">
        <v>45</v>
      </c>
      <c r="F41" s="13">
        <v>2500</v>
      </c>
      <c r="G41" s="55">
        <f>2002/744000</f>
        <v>2.6908602150537636E-3</v>
      </c>
      <c r="H41" s="97">
        <f t="shared" si="0"/>
        <v>2.4973091397849463</v>
      </c>
      <c r="I41" s="85"/>
      <c r="J41" s="85"/>
      <c r="K41" s="85"/>
    </row>
    <row r="42" spans="1:11" x14ac:dyDescent="0.25">
      <c r="A42" s="100">
        <v>20</v>
      </c>
      <c r="B42" s="4" t="s">
        <v>33</v>
      </c>
      <c r="C42" s="15" t="s">
        <v>12</v>
      </c>
      <c r="D42" s="15" t="s">
        <v>110</v>
      </c>
      <c r="E42" s="100" t="s">
        <v>45</v>
      </c>
      <c r="F42" s="15">
        <v>1600</v>
      </c>
      <c r="G42" s="73">
        <f>10171/744000</f>
        <v>1.3670698924731182E-2</v>
      </c>
      <c r="H42" s="101">
        <f t="shared" si="0"/>
        <v>1.5863293010752688</v>
      </c>
      <c r="I42" s="85"/>
      <c r="J42" s="85"/>
      <c r="K42" s="85"/>
    </row>
    <row r="43" spans="1:11" x14ac:dyDescent="0.25">
      <c r="A43" s="100">
        <v>21</v>
      </c>
      <c r="B43" s="4" t="s">
        <v>34</v>
      </c>
      <c r="C43" s="15" t="s">
        <v>12</v>
      </c>
      <c r="D43" s="15" t="s">
        <v>120</v>
      </c>
      <c r="E43" s="100" t="s">
        <v>45</v>
      </c>
      <c r="F43" s="15">
        <v>6300</v>
      </c>
      <c r="G43" s="73">
        <f>141502/744000</f>
        <v>0.19019086021505377</v>
      </c>
      <c r="H43" s="101">
        <f t="shared" si="0"/>
        <v>6.1098091397849457</v>
      </c>
      <c r="I43" s="85"/>
      <c r="J43" s="85"/>
      <c r="K43" s="85"/>
    </row>
    <row r="44" spans="1:11" ht="31.5" x14ac:dyDescent="0.25">
      <c r="A44" s="91">
        <v>22</v>
      </c>
      <c r="B44" s="9" t="s">
        <v>35</v>
      </c>
      <c r="C44" s="14" t="s">
        <v>12</v>
      </c>
      <c r="D44" s="75" t="s">
        <v>121</v>
      </c>
      <c r="E44" s="91" t="s">
        <v>45</v>
      </c>
      <c r="F44" s="14">
        <v>4000</v>
      </c>
      <c r="G44" s="79">
        <f>280266/744000</f>
        <v>0.37670161290322579</v>
      </c>
      <c r="H44" s="92">
        <f t="shared" si="0"/>
        <v>3.6232983870967743</v>
      </c>
      <c r="I44" s="85"/>
      <c r="J44" s="85"/>
      <c r="K44" s="85"/>
    </row>
    <row r="45" spans="1:11" x14ac:dyDescent="0.25">
      <c r="A45" s="96"/>
      <c r="B45" s="12"/>
      <c r="C45" s="13" t="s">
        <v>13</v>
      </c>
      <c r="D45" s="13"/>
      <c r="E45" s="96" t="s">
        <v>45</v>
      </c>
      <c r="F45" s="13">
        <v>4000</v>
      </c>
      <c r="G45" s="55">
        <v>0</v>
      </c>
      <c r="H45" s="97" t="s">
        <v>106</v>
      </c>
      <c r="I45" s="85"/>
      <c r="J45" s="85"/>
      <c r="K45" s="85"/>
    </row>
    <row r="46" spans="1:11" x14ac:dyDescent="0.25">
      <c r="A46" s="91">
        <v>23</v>
      </c>
      <c r="B46" s="9" t="s">
        <v>36</v>
      </c>
      <c r="C46" s="14" t="s">
        <v>12</v>
      </c>
      <c r="D46" s="14" t="s">
        <v>122</v>
      </c>
      <c r="E46" s="91" t="s">
        <v>45</v>
      </c>
      <c r="F46" s="14">
        <v>4000</v>
      </c>
      <c r="G46" s="79">
        <f>198096/744000</f>
        <v>0.26625806451612904</v>
      </c>
      <c r="H46" s="55">
        <f>F46/1000-G46</f>
        <v>3.733741935483871</v>
      </c>
      <c r="I46" s="85"/>
      <c r="J46" s="85"/>
      <c r="K46" s="85"/>
    </row>
    <row r="47" spans="1:11" x14ac:dyDescent="0.25">
      <c r="A47" s="96"/>
      <c r="B47" s="12"/>
      <c r="C47" s="13" t="s">
        <v>13</v>
      </c>
      <c r="D47" s="13"/>
      <c r="E47" s="96" t="s">
        <v>45</v>
      </c>
      <c r="F47" s="13">
        <v>4000</v>
      </c>
      <c r="G47" s="55">
        <v>0</v>
      </c>
      <c r="H47" s="97" t="s">
        <v>106</v>
      </c>
      <c r="I47" s="85"/>
      <c r="J47" s="85"/>
      <c r="K47" s="85"/>
    </row>
    <row r="48" spans="1:11" x14ac:dyDescent="0.25">
      <c r="A48" s="100">
        <v>24</v>
      </c>
      <c r="B48" s="4" t="s">
        <v>37</v>
      </c>
      <c r="C48" s="15" t="s">
        <v>12</v>
      </c>
      <c r="D48" s="15" t="s">
        <v>123</v>
      </c>
      <c r="E48" s="100" t="s">
        <v>46</v>
      </c>
      <c r="F48" s="15"/>
      <c r="G48" s="73">
        <v>0</v>
      </c>
      <c r="H48" s="101" t="s">
        <v>107</v>
      </c>
      <c r="I48" s="85"/>
      <c r="J48" s="85"/>
      <c r="K48" s="85"/>
    </row>
    <row r="49" spans="1:11" x14ac:dyDescent="0.25">
      <c r="A49" s="100">
        <v>25</v>
      </c>
      <c r="B49" s="4" t="s">
        <v>38</v>
      </c>
      <c r="C49" s="15" t="s">
        <v>12</v>
      </c>
      <c r="D49" s="15" t="s">
        <v>124</v>
      </c>
      <c r="E49" s="100" t="s">
        <v>45</v>
      </c>
      <c r="F49" s="15">
        <v>1000</v>
      </c>
      <c r="G49" s="73">
        <f>77896/744000</f>
        <v>0.10469892473118279</v>
      </c>
      <c r="H49" s="101">
        <f t="shared" si="0"/>
        <v>0.89530107526881719</v>
      </c>
      <c r="I49" s="85"/>
      <c r="J49" s="85"/>
      <c r="K49" s="85"/>
    </row>
    <row r="50" spans="1:11" x14ac:dyDescent="0.25">
      <c r="A50" s="100">
        <v>26</v>
      </c>
      <c r="B50" s="4" t="s">
        <v>39</v>
      </c>
      <c r="C50" s="15" t="s">
        <v>12</v>
      </c>
      <c r="D50" s="15" t="s">
        <v>125</v>
      </c>
      <c r="E50" s="100" t="s">
        <v>41</v>
      </c>
      <c r="F50" s="15">
        <v>2500</v>
      </c>
      <c r="G50" s="73">
        <v>0</v>
      </c>
      <c r="H50" s="101" t="s">
        <v>106</v>
      </c>
      <c r="I50" s="85"/>
      <c r="J50" s="85"/>
      <c r="K50" s="85"/>
    </row>
    <row r="51" spans="1:11" x14ac:dyDescent="0.25">
      <c r="A51" s="86"/>
      <c r="B51" s="85"/>
      <c r="C51" s="85"/>
      <c r="D51" s="85"/>
      <c r="E51" s="86"/>
      <c r="F51" s="85"/>
      <c r="G51" s="87"/>
      <c r="H51" s="88"/>
      <c r="I51" s="85"/>
      <c r="J51" s="85"/>
      <c r="K51" s="85"/>
    </row>
    <row r="52" spans="1:11" x14ac:dyDescent="0.25">
      <c r="A52" s="116" t="s">
        <v>48</v>
      </c>
      <c r="B52" s="116"/>
      <c r="C52" s="116"/>
      <c r="D52" s="116"/>
      <c r="E52" s="116"/>
      <c r="F52" s="116"/>
      <c r="G52" s="116"/>
      <c r="H52" s="116"/>
      <c r="I52" s="85"/>
      <c r="J52" s="85"/>
      <c r="K52" s="85"/>
    </row>
    <row r="53" spans="1:11" x14ac:dyDescent="0.25">
      <c r="A53" s="86"/>
      <c r="B53" s="85"/>
      <c r="C53" s="85"/>
      <c r="D53" s="85"/>
      <c r="E53" s="86"/>
      <c r="F53" s="85"/>
      <c r="G53" s="87"/>
      <c r="H53" s="88"/>
      <c r="I53" s="85"/>
      <c r="J53" s="85"/>
      <c r="K53" s="85"/>
    </row>
    <row r="54" spans="1:11" ht="63" x14ac:dyDescent="0.25">
      <c r="A54" s="76" t="s">
        <v>4</v>
      </c>
      <c r="B54" s="76" t="s">
        <v>49</v>
      </c>
      <c r="C54" s="76" t="s">
        <v>50</v>
      </c>
      <c r="D54" s="76" t="s">
        <v>51</v>
      </c>
      <c r="E54" s="76" t="s">
        <v>8</v>
      </c>
      <c r="F54" s="76" t="s">
        <v>52</v>
      </c>
      <c r="G54" s="89" t="s">
        <v>129</v>
      </c>
      <c r="H54" s="89" t="s">
        <v>10</v>
      </c>
      <c r="I54" s="85"/>
      <c r="J54" s="85"/>
      <c r="K54" s="85"/>
    </row>
    <row r="55" spans="1:11" x14ac:dyDescent="0.25">
      <c r="A55" s="100"/>
      <c r="B55" s="80" t="s">
        <v>53</v>
      </c>
      <c r="C55" s="4"/>
      <c r="D55" s="15"/>
      <c r="E55" s="80"/>
      <c r="F55" s="15"/>
      <c r="G55" s="73"/>
      <c r="H55" s="101"/>
      <c r="I55" s="85"/>
      <c r="J55" s="85"/>
      <c r="K55" s="85"/>
    </row>
    <row r="56" spans="1:11" x14ac:dyDescent="0.25">
      <c r="A56" s="91">
        <v>1</v>
      </c>
      <c r="B56" s="9" t="s">
        <v>54</v>
      </c>
      <c r="C56" s="56">
        <v>3.3</v>
      </c>
      <c r="D56" s="64">
        <v>120</v>
      </c>
      <c r="E56" s="14">
        <v>110</v>
      </c>
      <c r="F56" s="103">
        <f>1.73*115*330/1000</f>
        <v>65.653499999999994</v>
      </c>
      <c r="G56" s="79">
        <f>2121812/744000</f>
        <v>2.8518978494623655</v>
      </c>
      <c r="H56" s="103">
        <f>F56-G56</f>
        <v>62.801602150537626</v>
      </c>
      <c r="I56" s="85"/>
      <c r="J56" s="85"/>
      <c r="K56" s="85"/>
    </row>
    <row r="57" spans="1:11" x14ac:dyDescent="0.25">
      <c r="A57" s="93">
        <v>2</v>
      </c>
      <c r="B57" s="10" t="s">
        <v>55</v>
      </c>
      <c r="C57" s="57">
        <v>217.4</v>
      </c>
      <c r="D57" s="65">
        <v>150</v>
      </c>
      <c r="E57" s="11">
        <v>110</v>
      </c>
      <c r="F57" s="104">
        <f>1.73*115*445/1000</f>
        <v>88.532749999999993</v>
      </c>
      <c r="G57" s="94">
        <f>2088291/744000</f>
        <v>2.8068427419354838</v>
      </c>
      <c r="H57" s="104">
        <f t="shared" ref="H57:H108" si="1">F57-G57</f>
        <v>85.72590725806451</v>
      </c>
      <c r="I57" s="85"/>
      <c r="J57" s="85"/>
      <c r="K57" s="85"/>
    </row>
    <row r="58" spans="1:11" x14ac:dyDescent="0.25">
      <c r="A58" s="93">
        <v>3</v>
      </c>
      <c r="B58" s="10" t="s">
        <v>56</v>
      </c>
      <c r="C58" s="57">
        <v>217.4</v>
      </c>
      <c r="D58" s="65">
        <v>150</v>
      </c>
      <c r="E58" s="11">
        <v>110</v>
      </c>
      <c r="F58" s="104">
        <f>1.73*115*445/1000</f>
        <v>88.532749999999993</v>
      </c>
      <c r="G58" s="94">
        <f>690226/744000</f>
        <v>0.92772311827956988</v>
      </c>
      <c r="H58" s="104">
        <f t="shared" si="1"/>
        <v>87.60502688172042</v>
      </c>
      <c r="I58" s="85"/>
      <c r="J58" s="85"/>
      <c r="K58" s="85"/>
    </row>
    <row r="59" spans="1:11" x14ac:dyDescent="0.25">
      <c r="A59" s="93">
        <v>4</v>
      </c>
      <c r="B59" s="10" t="s">
        <v>57</v>
      </c>
      <c r="C59" s="58">
        <v>17.3</v>
      </c>
      <c r="D59" s="65" t="s">
        <v>109</v>
      </c>
      <c r="E59" s="11">
        <v>110</v>
      </c>
      <c r="F59" s="104">
        <f>1.73*115*445/1000</f>
        <v>88.532749999999993</v>
      </c>
      <c r="G59" s="94">
        <f>4108665/744000</f>
        <v>5.5223991935483872</v>
      </c>
      <c r="H59" s="104">
        <f t="shared" si="1"/>
        <v>83.010350806451612</v>
      </c>
      <c r="I59" s="85"/>
      <c r="J59" s="85"/>
      <c r="K59" s="85"/>
    </row>
    <row r="60" spans="1:11" x14ac:dyDescent="0.25">
      <c r="A60" s="93">
        <v>5</v>
      </c>
      <c r="B60" s="10" t="s">
        <v>58</v>
      </c>
      <c r="C60" s="57">
        <v>17.3</v>
      </c>
      <c r="D60" s="65" t="s">
        <v>109</v>
      </c>
      <c r="E60" s="11">
        <v>110</v>
      </c>
      <c r="F60" s="104">
        <f>1.73*115*445/1000</f>
        <v>88.532749999999993</v>
      </c>
      <c r="G60" s="94">
        <f>2024198/744000</f>
        <v>2.7206962365591396</v>
      </c>
      <c r="H60" s="104">
        <f t="shared" si="1"/>
        <v>85.812053763440858</v>
      </c>
      <c r="I60" s="85"/>
      <c r="J60" s="85"/>
      <c r="K60" s="85"/>
    </row>
    <row r="61" spans="1:11" x14ac:dyDescent="0.25">
      <c r="A61" s="93">
        <v>6</v>
      </c>
      <c r="B61" s="10" t="s">
        <v>59</v>
      </c>
      <c r="C61" s="57">
        <v>47.1</v>
      </c>
      <c r="D61" s="65">
        <v>120</v>
      </c>
      <c r="E61" s="11">
        <v>110</v>
      </c>
      <c r="F61" s="104">
        <f>1.73*115*445/1000</f>
        <v>88.532749999999993</v>
      </c>
      <c r="G61" s="94">
        <f>776417/744000</f>
        <v>1.0435712365591399</v>
      </c>
      <c r="H61" s="104">
        <f t="shared" si="1"/>
        <v>87.489178763440847</v>
      </c>
      <c r="I61" s="85"/>
      <c r="J61" s="85"/>
      <c r="K61" s="85"/>
    </row>
    <row r="62" spans="1:11" x14ac:dyDescent="0.25">
      <c r="A62" s="93">
        <v>7</v>
      </c>
      <c r="B62" s="10" t="s">
        <v>60</v>
      </c>
      <c r="C62" s="57">
        <v>36.9</v>
      </c>
      <c r="D62" s="65">
        <v>120</v>
      </c>
      <c r="E62" s="11">
        <v>110</v>
      </c>
      <c r="F62" s="104">
        <f>1.73*115*380/1000</f>
        <v>75.600999999999999</v>
      </c>
      <c r="G62" s="94">
        <v>0</v>
      </c>
      <c r="H62" s="107" t="s">
        <v>106</v>
      </c>
      <c r="I62" s="85"/>
      <c r="J62" s="85"/>
      <c r="K62" s="85"/>
    </row>
    <row r="63" spans="1:11" x14ac:dyDescent="0.25">
      <c r="A63" s="93">
        <v>8</v>
      </c>
      <c r="B63" s="10" t="s">
        <v>61</v>
      </c>
      <c r="C63" s="58">
        <v>39.32</v>
      </c>
      <c r="D63" s="65">
        <v>185</v>
      </c>
      <c r="E63" s="11">
        <v>110</v>
      </c>
      <c r="F63" s="104">
        <f>1.73*115*510/1000</f>
        <v>101.4645</v>
      </c>
      <c r="G63" s="94">
        <f>5061514/744000</f>
        <v>6.8031102150537635</v>
      </c>
      <c r="H63" s="104">
        <f t="shared" si="1"/>
        <v>94.661389784946238</v>
      </c>
      <c r="I63" s="85"/>
      <c r="J63" s="85"/>
      <c r="K63" s="85"/>
    </row>
    <row r="64" spans="1:11" x14ac:dyDescent="0.25">
      <c r="A64" s="93">
        <v>9</v>
      </c>
      <c r="B64" s="10" t="s">
        <v>105</v>
      </c>
      <c r="C64" s="57">
        <v>172.4</v>
      </c>
      <c r="D64" s="65">
        <v>185</v>
      </c>
      <c r="E64" s="11">
        <v>110</v>
      </c>
      <c r="F64" s="104">
        <f>1.73*115*510/1000</f>
        <v>101.4645</v>
      </c>
      <c r="G64" s="94">
        <f>4293046/744000</f>
        <v>5.7702231182795698</v>
      </c>
      <c r="H64" s="104">
        <f t="shared" si="1"/>
        <v>95.694276881720427</v>
      </c>
      <c r="I64" s="85"/>
      <c r="J64" s="85"/>
      <c r="K64" s="85"/>
    </row>
    <row r="65" spans="1:11" x14ac:dyDescent="0.25">
      <c r="A65" s="93">
        <v>10</v>
      </c>
      <c r="B65" s="10" t="s">
        <v>62</v>
      </c>
      <c r="C65" s="57">
        <v>3.35</v>
      </c>
      <c r="D65" s="65">
        <v>120</v>
      </c>
      <c r="E65" s="11">
        <v>110</v>
      </c>
      <c r="F65" s="104">
        <f>1.73*115*380/1000</f>
        <v>75.600999999999999</v>
      </c>
      <c r="G65" s="94">
        <f>5259936/744000</f>
        <v>7.0698064516129033</v>
      </c>
      <c r="H65" s="104">
        <f>F65-G65</f>
        <v>68.531193548387094</v>
      </c>
      <c r="I65" s="85"/>
      <c r="J65" s="85"/>
      <c r="K65" s="85"/>
    </row>
    <row r="66" spans="1:11" x14ac:dyDescent="0.25">
      <c r="A66" s="96">
        <v>11</v>
      </c>
      <c r="B66" s="12" t="s">
        <v>63</v>
      </c>
      <c r="C66" s="59">
        <v>19</v>
      </c>
      <c r="D66" s="66">
        <v>35</v>
      </c>
      <c r="E66" s="13">
        <v>35</v>
      </c>
      <c r="F66" s="105">
        <f>1.73*37*175/1000</f>
        <v>11.201750000000001</v>
      </c>
      <c r="G66" s="55">
        <f>229145/744000</f>
        <v>0.30799059139784946</v>
      </c>
      <c r="H66" s="105">
        <f t="shared" si="1"/>
        <v>10.893759408602151</v>
      </c>
      <c r="I66" s="85"/>
      <c r="J66" s="85"/>
      <c r="K66" s="85"/>
    </row>
    <row r="67" spans="1:11" x14ac:dyDescent="0.25">
      <c r="A67" s="100"/>
      <c r="B67" s="80" t="s">
        <v>64</v>
      </c>
      <c r="C67" s="60"/>
      <c r="D67" s="67"/>
      <c r="E67" s="80"/>
      <c r="F67" s="106"/>
      <c r="G67" s="73"/>
      <c r="H67" s="106"/>
      <c r="I67" s="85"/>
      <c r="J67" s="85"/>
      <c r="K67" s="85"/>
    </row>
    <row r="68" spans="1:11" x14ac:dyDescent="0.25">
      <c r="A68" s="91">
        <v>12</v>
      </c>
      <c r="B68" s="9" t="s">
        <v>65</v>
      </c>
      <c r="C68" s="61">
        <v>89.5</v>
      </c>
      <c r="D68" s="64">
        <v>120</v>
      </c>
      <c r="E68" s="14">
        <v>110</v>
      </c>
      <c r="F68" s="103">
        <f>1.73*115*380/1000</f>
        <v>75.600999999999999</v>
      </c>
      <c r="G68" s="79">
        <f>184048/744000</f>
        <v>0.24737634408602149</v>
      </c>
      <c r="H68" s="107">
        <f t="shared" si="1"/>
        <v>75.353623655913978</v>
      </c>
      <c r="I68" s="85"/>
      <c r="J68" s="85"/>
      <c r="K68" s="85"/>
    </row>
    <row r="69" spans="1:11" x14ac:dyDescent="0.25">
      <c r="A69" s="93">
        <v>13</v>
      </c>
      <c r="B69" s="10" t="s">
        <v>66</v>
      </c>
      <c r="C69" s="57">
        <v>118.61</v>
      </c>
      <c r="D69" s="65">
        <v>120</v>
      </c>
      <c r="E69" s="11">
        <v>110</v>
      </c>
      <c r="F69" s="104">
        <f>1.73*115*380/1000</f>
        <v>75.600999999999999</v>
      </c>
      <c r="G69" s="94">
        <f>2731/744000</f>
        <v>3.6706989247311827E-3</v>
      </c>
      <c r="H69" s="107">
        <f>F69-G69</f>
        <v>75.597329301075263</v>
      </c>
      <c r="I69" s="85"/>
      <c r="J69" s="85"/>
      <c r="K69" s="85"/>
    </row>
    <row r="70" spans="1:11" x14ac:dyDescent="0.25">
      <c r="A70" s="96">
        <v>14</v>
      </c>
      <c r="B70" s="12" t="s">
        <v>67</v>
      </c>
      <c r="C70" s="59">
        <v>90.5</v>
      </c>
      <c r="D70" s="66">
        <v>120</v>
      </c>
      <c r="E70" s="13">
        <v>110</v>
      </c>
      <c r="F70" s="105">
        <f>1.73*115*380/1000</f>
        <v>75.600999999999999</v>
      </c>
      <c r="G70" s="55">
        <f>554232/744000</f>
        <v>0.74493548387096775</v>
      </c>
      <c r="H70" s="105">
        <f t="shared" si="1"/>
        <v>74.856064516129038</v>
      </c>
      <c r="I70" s="85"/>
      <c r="J70" s="85"/>
      <c r="K70" s="85"/>
    </row>
    <row r="71" spans="1:11" x14ac:dyDescent="0.25">
      <c r="A71" s="100"/>
      <c r="B71" s="80" t="s">
        <v>68</v>
      </c>
      <c r="C71" s="62"/>
      <c r="D71" s="67"/>
      <c r="E71" s="80"/>
      <c r="F71" s="106"/>
      <c r="G71" s="73"/>
      <c r="H71" s="106"/>
      <c r="I71" s="85"/>
      <c r="J71" s="85"/>
      <c r="K71" s="85"/>
    </row>
    <row r="72" spans="1:11" x14ac:dyDescent="0.25">
      <c r="A72" s="91">
        <v>15</v>
      </c>
      <c r="B72" s="9" t="s">
        <v>69</v>
      </c>
      <c r="C72" s="56">
        <v>51</v>
      </c>
      <c r="D72" s="64">
        <v>185</v>
      </c>
      <c r="E72" s="14">
        <v>110</v>
      </c>
      <c r="F72" s="103">
        <f>1.73*115*510/1000</f>
        <v>101.4645</v>
      </c>
      <c r="G72" s="79">
        <f>3612332/744000</f>
        <v>4.8552849462365595</v>
      </c>
      <c r="H72" s="103">
        <f t="shared" si="1"/>
        <v>96.609215053763435</v>
      </c>
      <c r="I72" s="85"/>
      <c r="J72" s="85"/>
      <c r="K72" s="85"/>
    </row>
    <row r="73" spans="1:11" x14ac:dyDescent="0.25">
      <c r="A73" s="96">
        <v>16</v>
      </c>
      <c r="B73" s="12" t="s">
        <v>70</v>
      </c>
      <c r="C73" s="63">
        <v>2.2599999999999998</v>
      </c>
      <c r="D73" s="66">
        <v>70</v>
      </c>
      <c r="E73" s="13">
        <v>35</v>
      </c>
      <c r="F73" s="105">
        <f>1.73*37*265/1000</f>
        <v>16.96265</v>
      </c>
      <c r="G73" s="55">
        <f>1024260/744000</f>
        <v>1.3766935483870968</v>
      </c>
      <c r="H73" s="105">
        <f t="shared" si="1"/>
        <v>15.585956451612903</v>
      </c>
      <c r="I73" s="85"/>
      <c r="J73" s="85"/>
      <c r="K73" s="85"/>
    </row>
    <row r="74" spans="1:11" x14ac:dyDescent="0.25">
      <c r="A74" s="100"/>
      <c r="B74" s="80" t="s">
        <v>71</v>
      </c>
      <c r="C74" s="60"/>
      <c r="D74" s="67"/>
      <c r="E74" s="80"/>
      <c r="F74" s="106"/>
      <c r="G74" s="73"/>
      <c r="H74" s="106"/>
      <c r="I74" s="85"/>
      <c r="J74" s="85"/>
      <c r="K74" s="85"/>
    </row>
    <row r="75" spans="1:11" x14ac:dyDescent="0.25">
      <c r="A75" s="91">
        <v>17</v>
      </c>
      <c r="B75" s="9" t="s">
        <v>72</v>
      </c>
      <c r="C75" s="56">
        <v>30</v>
      </c>
      <c r="D75" s="64">
        <v>95</v>
      </c>
      <c r="E75" s="14">
        <v>35</v>
      </c>
      <c r="F75" s="103">
        <f>1.73*37*330/1000</f>
        <v>21.123300000000004</v>
      </c>
      <c r="G75" s="79">
        <f>24837/744000</f>
        <v>3.3383064516129032E-2</v>
      </c>
      <c r="H75" s="103">
        <f t="shared" si="1"/>
        <v>21.089916935483874</v>
      </c>
      <c r="I75" s="85"/>
      <c r="J75" s="85"/>
      <c r="K75" s="85"/>
    </row>
    <row r="76" spans="1:11" x14ac:dyDescent="0.25">
      <c r="A76" s="93">
        <v>18</v>
      </c>
      <c r="B76" s="10" t="s">
        <v>73</v>
      </c>
      <c r="C76" s="57">
        <v>53.3</v>
      </c>
      <c r="D76" s="65">
        <v>70</v>
      </c>
      <c r="E76" s="11">
        <v>35</v>
      </c>
      <c r="F76" s="104">
        <f>1.73*37*265/1000</f>
        <v>16.96265</v>
      </c>
      <c r="G76" s="94">
        <f>947495/744000</f>
        <v>1.2735147849462365</v>
      </c>
      <c r="H76" s="104">
        <f t="shared" si="1"/>
        <v>15.689135215053764</v>
      </c>
      <c r="I76" s="85"/>
      <c r="J76" s="85"/>
      <c r="K76" s="85"/>
    </row>
    <row r="77" spans="1:11" x14ac:dyDescent="0.25">
      <c r="A77" s="93">
        <v>19</v>
      </c>
      <c r="B77" s="10" t="s">
        <v>74</v>
      </c>
      <c r="C77" s="58">
        <v>30.9</v>
      </c>
      <c r="D77" s="65">
        <v>70</v>
      </c>
      <c r="E77" s="11">
        <v>35</v>
      </c>
      <c r="F77" s="104">
        <f>1.73*37*265/1000</f>
        <v>16.96265</v>
      </c>
      <c r="G77" s="94">
        <f>269232/744000</f>
        <v>0.3618709677419355</v>
      </c>
      <c r="H77" s="104">
        <f t="shared" si="1"/>
        <v>16.600779032258064</v>
      </c>
      <c r="I77" s="85"/>
      <c r="J77" s="85"/>
      <c r="K77" s="85"/>
    </row>
    <row r="78" spans="1:11" x14ac:dyDescent="0.25">
      <c r="A78" s="93">
        <v>20</v>
      </c>
      <c r="B78" s="10" t="s">
        <v>75</v>
      </c>
      <c r="C78" s="57">
        <v>33.14</v>
      </c>
      <c r="D78" s="65">
        <v>70</v>
      </c>
      <c r="E78" s="11">
        <v>35</v>
      </c>
      <c r="F78" s="104">
        <f>1.73*37*265/1000</f>
        <v>16.96265</v>
      </c>
      <c r="G78" s="94">
        <v>0</v>
      </c>
      <c r="H78" s="107" t="s">
        <v>106</v>
      </c>
      <c r="I78" s="85"/>
      <c r="J78" s="85"/>
      <c r="K78" s="85"/>
    </row>
    <row r="79" spans="1:11" x14ac:dyDescent="0.25">
      <c r="A79" s="96">
        <v>21</v>
      </c>
      <c r="B79" s="12" t="s">
        <v>76</v>
      </c>
      <c r="C79" s="63">
        <v>44.5</v>
      </c>
      <c r="D79" s="66">
        <v>95</v>
      </c>
      <c r="E79" s="13">
        <v>35</v>
      </c>
      <c r="F79" s="105">
        <f>1.73*37*330/1000</f>
        <v>21.123300000000004</v>
      </c>
      <c r="G79" s="55">
        <f>48346/744000</f>
        <v>6.4981182795698922E-2</v>
      </c>
      <c r="H79" s="105">
        <f t="shared" si="1"/>
        <v>21.058318817204306</v>
      </c>
      <c r="I79" s="85"/>
      <c r="J79" s="85"/>
      <c r="K79" s="85"/>
    </row>
    <row r="80" spans="1:11" x14ac:dyDescent="0.25">
      <c r="A80" s="100"/>
      <c r="B80" s="80" t="s">
        <v>77</v>
      </c>
      <c r="C80" s="62"/>
      <c r="D80" s="67"/>
      <c r="E80" s="80"/>
      <c r="F80" s="106"/>
      <c r="G80" s="73"/>
      <c r="H80" s="106"/>
      <c r="I80" s="85"/>
      <c r="J80" s="85"/>
      <c r="K80" s="85"/>
    </row>
    <row r="81" spans="1:11" x14ac:dyDescent="0.25">
      <c r="A81" s="100">
        <v>22</v>
      </c>
      <c r="B81" s="4" t="s">
        <v>78</v>
      </c>
      <c r="C81" s="60">
        <v>15.4</v>
      </c>
      <c r="D81" s="67">
        <v>95</v>
      </c>
      <c r="E81" s="15">
        <v>35</v>
      </c>
      <c r="F81" s="108">
        <f>1.73*37*330/1000</f>
        <v>21.123300000000004</v>
      </c>
      <c r="G81" s="73">
        <v>0</v>
      </c>
      <c r="H81" s="109" t="s">
        <v>106</v>
      </c>
      <c r="I81" s="85"/>
      <c r="J81" s="85"/>
      <c r="K81" s="85"/>
    </row>
    <row r="82" spans="1:11" x14ac:dyDescent="0.25">
      <c r="A82" s="100"/>
      <c r="B82" s="80" t="s">
        <v>79</v>
      </c>
      <c r="C82" s="62"/>
      <c r="D82" s="67"/>
      <c r="E82" s="80"/>
      <c r="F82" s="106"/>
      <c r="G82" s="73"/>
      <c r="H82" s="106"/>
      <c r="I82" s="85"/>
      <c r="J82" s="85"/>
      <c r="K82" s="85"/>
    </row>
    <row r="83" spans="1:11" x14ac:dyDescent="0.25">
      <c r="A83" s="100">
        <v>23</v>
      </c>
      <c r="B83" s="4" t="s">
        <v>80</v>
      </c>
      <c r="C83" s="60">
        <v>4</v>
      </c>
      <c r="D83" s="67">
        <v>95</v>
      </c>
      <c r="E83" s="15">
        <v>110</v>
      </c>
      <c r="F83" s="108">
        <f>1.73*115*330/1000</f>
        <v>65.653499999999994</v>
      </c>
      <c r="G83" s="73">
        <v>0</v>
      </c>
      <c r="H83" s="109" t="s">
        <v>106</v>
      </c>
      <c r="I83" s="85"/>
      <c r="J83" s="85"/>
      <c r="K83" s="85"/>
    </row>
    <row r="84" spans="1:11" x14ac:dyDescent="0.25">
      <c r="A84" s="100"/>
      <c r="B84" s="80" t="s">
        <v>81</v>
      </c>
      <c r="C84" s="62"/>
      <c r="D84" s="67"/>
      <c r="E84" s="80"/>
      <c r="F84" s="106"/>
      <c r="G84" s="73"/>
      <c r="H84" s="106"/>
      <c r="I84" s="85"/>
      <c r="J84" s="85"/>
      <c r="K84" s="85"/>
    </row>
    <row r="85" spans="1:11" x14ac:dyDescent="0.25">
      <c r="A85" s="91">
        <v>24</v>
      </c>
      <c r="B85" s="9" t="s">
        <v>66</v>
      </c>
      <c r="C85" s="56">
        <v>118.61</v>
      </c>
      <c r="D85" s="64">
        <v>120</v>
      </c>
      <c r="E85" s="14">
        <v>110</v>
      </c>
      <c r="F85" s="103">
        <f>1.73*115*380/1000</f>
        <v>75.600999999999999</v>
      </c>
      <c r="G85" s="79">
        <f>459360/744000</f>
        <v>0.61741935483870969</v>
      </c>
      <c r="H85" s="103">
        <f t="shared" si="1"/>
        <v>74.983580645161283</v>
      </c>
      <c r="I85" s="85"/>
      <c r="J85" s="85"/>
      <c r="K85" s="85"/>
    </row>
    <row r="86" spans="1:11" x14ac:dyDescent="0.25">
      <c r="A86" s="93">
        <v>25</v>
      </c>
      <c r="B86" s="10" t="s">
        <v>82</v>
      </c>
      <c r="C86" s="57">
        <v>48.3</v>
      </c>
      <c r="D86" s="65">
        <v>185</v>
      </c>
      <c r="E86" s="11">
        <v>110</v>
      </c>
      <c r="F86" s="104">
        <f>1.73*115*510/1000</f>
        <v>101.4645</v>
      </c>
      <c r="G86" s="94">
        <f>2708640/744000</f>
        <v>3.6406451612903226</v>
      </c>
      <c r="H86" s="104">
        <f t="shared" si="1"/>
        <v>97.823854838709678</v>
      </c>
      <c r="I86" s="85"/>
      <c r="J86" s="85"/>
      <c r="K86" s="85"/>
    </row>
    <row r="87" spans="1:11" x14ac:dyDescent="0.25">
      <c r="A87" s="96">
        <v>26</v>
      </c>
      <c r="B87" s="12" t="s">
        <v>83</v>
      </c>
      <c r="C87" s="63">
        <v>30.5</v>
      </c>
      <c r="D87" s="66">
        <v>50</v>
      </c>
      <c r="E87" s="13">
        <v>35</v>
      </c>
      <c r="F87" s="105">
        <f>1.73*37*210/1000</f>
        <v>13.4421</v>
      </c>
      <c r="G87" s="55">
        <f>985845/744000</f>
        <v>1.3250604838709676</v>
      </c>
      <c r="H87" s="105">
        <f t="shared" si="1"/>
        <v>12.117039516129033</v>
      </c>
      <c r="I87" s="85"/>
      <c r="J87" s="85"/>
      <c r="K87" s="85"/>
    </row>
    <row r="88" spans="1:11" x14ac:dyDescent="0.25">
      <c r="A88" s="100"/>
      <c r="B88" s="80" t="s">
        <v>84</v>
      </c>
      <c r="C88" s="60"/>
      <c r="D88" s="67"/>
      <c r="E88" s="80"/>
      <c r="F88" s="106"/>
      <c r="G88" s="73"/>
      <c r="H88" s="106"/>
      <c r="I88" s="85"/>
      <c r="J88" s="85"/>
      <c r="K88" s="85"/>
    </row>
    <row r="89" spans="1:11" x14ac:dyDescent="0.25">
      <c r="A89" s="91">
        <v>27</v>
      </c>
      <c r="B89" s="9" t="s">
        <v>85</v>
      </c>
      <c r="C89" s="56">
        <v>38.4</v>
      </c>
      <c r="D89" s="64">
        <v>120</v>
      </c>
      <c r="E89" s="14">
        <v>110</v>
      </c>
      <c r="F89" s="103">
        <f>1.73*115*380/1000</f>
        <v>75.600999999999999</v>
      </c>
      <c r="G89" s="79">
        <f>3943984/744000</f>
        <v>5.3010537634408603</v>
      </c>
      <c r="H89" s="103">
        <f t="shared" si="1"/>
        <v>70.299946236559137</v>
      </c>
      <c r="I89" s="85"/>
      <c r="J89" s="85"/>
      <c r="K89" s="85"/>
    </row>
    <row r="90" spans="1:11" x14ac:dyDescent="0.25">
      <c r="A90" s="96">
        <v>28</v>
      </c>
      <c r="B90" s="12" t="s">
        <v>86</v>
      </c>
      <c r="C90" s="59">
        <v>1.6</v>
      </c>
      <c r="D90" s="66">
        <v>70</v>
      </c>
      <c r="E90" s="13">
        <v>35</v>
      </c>
      <c r="F90" s="105">
        <f>1.73*37*265/1000</f>
        <v>16.96265</v>
      </c>
      <c r="G90" s="55">
        <f>103912/744000</f>
        <v>0.13966666666666666</v>
      </c>
      <c r="H90" s="110" t="s">
        <v>106</v>
      </c>
      <c r="I90" s="85"/>
      <c r="J90" s="85"/>
      <c r="K90" s="85"/>
    </row>
    <row r="91" spans="1:11" x14ac:dyDescent="0.25">
      <c r="A91" s="100"/>
      <c r="B91" s="80" t="s">
        <v>87</v>
      </c>
      <c r="C91" s="62"/>
      <c r="D91" s="67"/>
      <c r="E91" s="80"/>
      <c r="F91" s="106"/>
      <c r="G91" s="73"/>
      <c r="H91" s="106"/>
      <c r="I91" s="85"/>
      <c r="J91" s="85"/>
      <c r="K91" s="85"/>
    </row>
    <row r="92" spans="1:11" x14ac:dyDescent="0.25">
      <c r="A92" s="100">
        <v>29</v>
      </c>
      <c r="B92" s="4" t="s">
        <v>88</v>
      </c>
      <c r="C92" s="60">
        <v>45.2</v>
      </c>
      <c r="D92" s="67">
        <v>70</v>
      </c>
      <c r="E92" s="15">
        <v>35</v>
      </c>
      <c r="F92" s="108">
        <f>1.73*37*265/1000</f>
        <v>16.96265</v>
      </c>
      <c r="G92" s="73">
        <f>94667/744000</f>
        <v>0.12724059139784946</v>
      </c>
      <c r="H92" s="108">
        <f t="shared" si="1"/>
        <v>16.83540940860215</v>
      </c>
      <c r="I92" s="85"/>
      <c r="J92" s="85"/>
      <c r="K92" s="85"/>
    </row>
    <row r="93" spans="1:11" x14ac:dyDescent="0.25">
      <c r="A93" s="100"/>
      <c r="B93" s="80" t="s">
        <v>89</v>
      </c>
      <c r="C93" s="62"/>
      <c r="D93" s="67"/>
      <c r="E93" s="80"/>
      <c r="F93" s="106"/>
      <c r="G93" s="73"/>
      <c r="H93" s="106"/>
      <c r="I93" s="85"/>
      <c r="J93" s="85"/>
      <c r="K93" s="85"/>
    </row>
    <row r="94" spans="1:11" x14ac:dyDescent="0.25">
      <c r="A94" s="100">
        <v>30</v>
      </c>
      <c r="B94" s="4" t="s">
        <v>90</v>
      </c>
      <c r="C94" s="60">
        <v>65</v>
      </c>
      <c r="D94" s="67" t="s">
        <v>108</v>
      </c>
      <c r="E94" s="15">
        <v>35</v>
      </c>
      <c r="F94" s="108">
        <f>1.73*37*265/1000</f>
        <v>16.96265</v>
      </c>
      <c r="G94" s="73">
        <f>607131/744000</f>
        <v>0.81603629032258063</v>
      </c>
      <c r="H94" s="108">
        <f t="shared" si="1"/>
        <v>16.146613709677418</v>
      </c>
      <c r="I94" s="85"/>
      <c r="J94" s="85"/>
      <c r="K94" s="85"/>
    </row>
    <row r="95" spans="1:11" x14ac:dyDescent="0.25">
      <c r="A95" s="100"/>
      <c r="B95" s="80" t="s">
        <v>91</v>
      </c>
      <c r="C95" s="60"/>
      <c r="D95" s="67"/>
      <c r="E95" s="80"/>
      <c r="F95" s="106"/>
      <c r="G95" s="73"/>
      <c r="H95" s="106"/>
      <c r="I95" s="85"/>
      <c r="J95" s="85"/>
      <c r="K95" s="85"/>
    </row>
    <row r="96" spans="1:11" x14ac:dyDescent="0.25">
      <c r="A96" s="91">
        <v>31</v>
      </c>
      <c r="B96" s="9" t="s">
        <v>92</v>
      </c>
      <c r="C96" s="56">
        <v>71.2</v>
      </c>
      <c r="D96" s="64">
        <v>70</v>
      </c>
      <c r="E96" s="14">
        <v>35</v>
      </c>
      <c r="F96" s="103">
        <f>1.73*37*265/1000</f>
        <v>16.96265</v>
      </c>
      <c r="G96" s="79">
        <f>3795/744000</f>
        <v>5.1008064516129036E-3</v>
      </c>
      <c r="H96" s="103">
        <f t="shared" si="1"/>
        <v>16.957549193548388</v>
      </c>
      <c r="I96" s="85"/>
      <c r="J96" s="85"/>
      <c r="K96" s="85"/>
    </row>
    <row r="97" spans="1:11" x14ac:dyDescent="0.25">
      <c r="A97" s="96">
        <v>32</v>
      </c>
      <c r="B97" s="12" t="s">
        <v>93</v>
      </c>
      <c r="C97" s="81">
        <v>38.6</v>
      </c>
      <c r="D97" s="111">
        <v>95</v>
      </c>
      <c r="E97" s="13">
        <v>35</v>
      </c>
      <c r="F97" s="105">
        <f>1.73*37*330/1000</f>
        <v>21.123300000000004</v>
      </c>
      <c r="G97" s="55">
        <f>10171/744000</f>
        <v>1.3670698924731182E-2</v>
      </c>
      <c r="H97" s="105">
        <f t="shared" si="1"/>
        <v>21.109629301075273</v>
      </c>
      <c r="I97" s="85"/>
      <c r="J97" s="85"/>
      <c r="K97" s="85"/>
    </row>
    <row r="98" spans="1:11" x14ac:dyDescent="0.25">
      <c r="A98" s="100"/>
      <c r="B98" s="80" t="s">
        <v>94</v>
      </c>
      <c r="C98" s="82"/>
      <c r="D98" s="112"/>
      <c r="E98" s="80"/>
      <c r="F98" s="106"/>
      <c r="G98" s="73"/>
      <c r="H98" s="106"/>
      <c r="I98" s="85"/>
      <c r="J98" s="85"/>
      <c r="K98" s="85"/>
    </row>
    <row r="99" spans="1:11" x14ac:dyDescent="0.25">
      <c r="A99" s="100">
        <v>33</v>
      </c>
      <c r="B99" s="4" t="s">
        <v>95</v>
      </c>
      <c r="C99" s="82">
        <v>17.7</v>
      </c>
      <c r="D99" s="112">
        <v>70</v>
      </c>
      <c r="E99" s="15">
        <v>35</v>
      </c>
      <c r="F99" s="108">
        <f>1.73*37*265/1000</f>
        <v>16.96265</v>
      </c>
      <c r="G99" s="73">
        <f>4517/744000</f>
        <v>6.0712365591397846E-3</v>
      </c>
      <c r="H99" s="108">
        <f t="shared" si="1"/>
        <v>16.956578763440859</v>
      </c>
      <c r="I99" s="85"/>
      <c r="J99" s="85"/>
      <c r="K99" s="85"/>
    </row>
    <row r="100" spans="1:11" x14ac:dyDescent="0.25">
      <c r="A100" s="100"/>
      <c r="B100" s="80" t="s">
        <v>96</v>
      </c>
      <c r="C100" s="82"/>
      <c r="D100" s="112"/>
      <c r="E100" s="80"/>
      <c r="F100" s="106"/>
      <c r="G100" s="73"/>
      <c r="H100" s="106"/>
      <c r="I100" s="85"/>
      <c r="J100" s="85"/>
      <c r="K100" s="85"/>
    </row>
    <row r="101" spans="1:11" x14ac:dyDescent="0.25">
      <c r="A101" s="100">
        <v>34</v>
      </c>
      <c r="B101" s="4" t="s">
        <v>97</v>
      </c>
      <c r="C101" s="82">
        <v>19.5</v>
      </c>
      <c r="D101" s="112">
        <v>95</v>
      </c>
      <c r="E101" s="15">
        <v>35</v>
      </c>
      <c r="F101" s="108">
        <f>1.73*37*330/1000</f>
        <v>21.123300000000004</v>
      </c>
      <c r="G101" s="73">
        <f>370601/744000</f>
        <v>0.498119623655914</v>
      </c>
      <c r="H101" s="108">
        <f t="shared" si="1"/>
        <v>20.62518037634409</v>
      </c>
      <c r="I101" s="85"/>
      <c r="J101" s="85"/>
      <c r="K101" s="85"/>
    </row>
    <row r="102" spans="1:11" x14ac:dyDescent="0.25">
      <c r="A102" s="100"/>
      <c r="B102" s="80" t="s">
        <v>98</v>
      </c>
      <c r="C102" s="82"/>
      <c r="D102" s="112"/>
      <c r="E102" s="80"/>
      <c r="F102" s="106"/>
      <c r="G102" s="73"/>
      <c r="H102" s="106"/>
      <c r="I102" s="85"/>
      <c r="J102" s="85"/>
      <c r="K102" s="85"/>
    </row>
    <row r="103" spans="1:11" x14ac:dyDescent="0.25">
      <c r="A103" s="91">
        <v>35</v>
      </c>
      <c r="B103" s="9" t="s">
        <v>99</v>
      </c>
      <c r="C103" s="83">
        <v>28.96</v>
      </c>
      <c r="D103" s="113">
        <v>70</v>
      </c>
      <c r="E103" s="14">
        <v>35</v>
      </c>
      <c r="F103" s="103">
        <f>1.73*37*265/1000</f>
        <v>16.96265</v>
      </c>
      <c r="G103" s="79">
        <f>28042/744000</f>
        <v>3.7690860215053766E-2</v>
      </c>
      <c r="H103" s="103">
        <f t="shared" si="1"/>
        <v>16.924959139784946</v>
      </c>
      <c r="I103" s="85"/>
      <c r="J103" s="85"/>
      <c r="K103" s="85"/>
    </row>
    <row r="104" spans="1:11" x14ac:dyDescent="0.25">
      <c r="A104" s="93">
        <v>36</v>
      </c>
      <c r="B104" s="10" t="s">
        <v>100</v>
      </c>
      <c r="C104" s="84">
        <v>15</v>
      </c>
      <c r="D104" s="114">
        <v>70</v>
      </c>
      <c r="E104" s="11">
        <v>35</v>
      </c>
      <c r="F104" s="104">
        <f>1.73*37*265/1000</f>
        <v>16.96265</v>
      </c>
      <c r="G104" s="94">
        <f>76678/744000</f>
        <v>0.10306182795698925</v>
      </c>
      <c r="H104" s="104">
        <f t="shared" si="1"/>
        <v>16.859588172043011</v>
      </c>
      <c r="I104" s="85"/>
      <c r="J104" s="85"/>
      <c r="K104" s="85"/>
    </row>
    <row r="105" spans="1:11" x14ac:dyDescent="0.25">
      <c r="A105" s="96">
        <v>37</v>
      </c>
      <c r="B105" s="12" t="s">
        <v>101</v>
      </c>
      <c r="C105" s="81">
        <v>35.26</v>
      </c>
      <c r="D105" s="111">
        <v>70</v>
      </c>
      <c r="E105" s="13">
        <v>35</v>
      </c>
      <c r="F105" s="105">
        <f>1.73*37*265/1000</f>
        <v>16.96265</v>
      </c>
      <c r="G105" s="55">
        <f>11487/744000</f>
        <v>1.5439516129032257E-2</v>
      </c>
      <c r="H105" s="105">
        <f t="shared" si="1"/>
        <v>16.947210483870968</v>
      </c>
      <c r="I105" s="85"/>
      <c r="J105" s="85"/>
      <c r="K105" s="85"/>
    </row>
    <row r="106" spans="1:11" x14ac:dyDescent="0.25">
      <c r="A106" s="100"/>
      <c r="B106" s="80" t="s">
        <v>102</v>
      </c>
      <c r="C106" s="82"/>
      <c r="D106" s="112"/>
      <c r="E106" s="80"/>
      <c r="F106" s="106"/>
      <c r="G106" s="73"/>
      <c r="H106" s="106"/>
      <c r="I106" s="85"/>
      <c r="J106" s="85"/>
      <c r="K106" s="85"/>
    </row>
    <row r="107" spans="1:11" x14ac:dyDescent="0.25">
      <c r="A107" s="91">
        <v>38</v>
      </c>
      <c r="B107" s="9" t="s">
        <v>103</v>
      </c>
      <c r="C107" s="83">
        <v>40.75</v>
      </c>
      <c r="D107" s="113">
        <v>70</v>
      </c>
      <c r="E107" s="14">
        <v>35</v>
      </c>
      <c r="F107" s="103">
        <f>1.73*37*265/1000</f>
        <v>16.96265</v>
      </c>
      <c r="G107" s="79">
        <f>116519/744000</f>
        <v>0.15661155913978494</v>
      </c>
      <c r="H107" s="103">
        <f t="shared" si="1"/>
        <v>16.806038440860217</v>
      </c>
      <c r="I107" s="85"/>
      <c r="J107" s="85"/>
      <c r="K107" s="85"/>
    </row>
    <row r="108" spans="1:11" x14ac:dyDescent="0.25">
      <c r="A108" s="96">
        <v>39</v>
      </c>
      <c r="B108" s="12" t="s">
        <v>104</v>
      </c>
      <c r="C108" s="81">
        <v>38.14</v>
      </c>
      <c r="D108" s="111">
        <v>120</v>
      </c>
      <c r="E108" s="13">
        <v>35</v>
      </c>
      <c r="F108" s="105">
        <f>1.73*37*380/1000</f>
        <v>24.323800000000002</v>
      </c>
      <c r="G108" s="55">
        <f>86219/744000</f>
        <v>0.11588575268817204</v>
      </c>
      <c r="H108" s="105">
        <f t="shared" si="1"/>
        <v>24.20791424731183</v>
      </c>
      <c r="I108" s="85"/>
      <c r="J108" s="85"/>
      <c r="K108" s="85"/>
    </row>
    <row r="109" spans="1:11" x14ac:dyDescent="0.25">
      <c r="A109" s="86"/>
      <c r="B109" s="85"/>
      <c r="C109" s="85"/>
      <c r="D109" s="85"/>
      <c r="E109" s="86"/>
      <c r="F109" s="85"/>
      <c r="G109" s="87"/>
      <c r="H109" s="88"/>
      <c r="I109" s="85"/>
      <c r="J109" s="85"/>
      <c r="K109" s="85"/>
    </row>
    <row r="110" spans="1:11" x14ac:dyDescent="0.25">
      <c r="A110" s="86"/>
      <c r="B110" s="85"/>
      <c r="C110" s="85"/>
      <c r="D110" s="85"/>
      <c r="E110" s="86"/>
      <c r="F110" s="85"/>
      <c r="G110" s="87"/>
      <c r="H110" s="88"/>
      <c r="I110" s="85"/>
      <c r="J110" s="85"/>
      <c r="K110" s="85"/>
    </row>
    <row r="111" spans="1:11" x14ac:dyDescent="0.25">
      <c r="A111" s="86"/>
      <c r="B111" s="85"/>
      <c r="C111" s="85"/>
      <c r="D111" s="85"/>
      <c r="E111" s="86"/>
      <c r="F111" s="85"/>
      <c r="G111" s="87"/>
      <c r="H111" s="88"/>
      <c r="I111" s="85"/>
      <c r="J111" s="85"/>
      <c r="K111" s="85"/>
    </row>
    <row r="112" spans="1:11" x14ac:dyDescent="0.25">
      <c r="A112" s="86"/>
      <c r="B112" s="85"/>
      <c r="C112" s="85"/>
      <c r="D112" s="85"/>
      <c r="E112" s="86"/>
      <c r="F112" s="85"/>
      <c r="G112" s="87"/>
      <c r="H112" s="88"/>
      <c r="I112" s="85"/>
      <c r="J112" s="85"/>
      <c r="K112" s="85"/>
    </row>
    <row r="113" spans="1:11" x14ac:dyDescent="0.25">
      <c r="A113" s="86"/>
      <c r="B113" s="85"/>
      <c r="C113" s="85"/>
      <c r="D113" s="85"/>
      <c r="E113" s="86"/>
      <c r="F113" s="85"/>
      <c r="G113" s="87"/>
      <c r="H113" s="88"/>
      <c r="I113" s="85"/>
      <c r="J113" s="85"/>
      <c r="K113" s="85"/>
    </row>
    <row r="114" spans="1:11" x14ac:dyDescent="0.25">
      <c r="A114" s="86"/>
      <c r="B114" s="85"/>
      <c r="C114" s="85"/>
      <c r="D114" s="85"/>
      <c r="E114" s="86"/>
      <c r="F114" s="85"/>
      <c r="G114" s="87"/>
      <c r="H114" s="88"/>
      <c r="I114" s="85"/>
      <c r="J114" s="85"/>
      <c r="K114" s="85"/>
    </row>
    <row r="115" spans="1:11" x14ac:dyDescent="0.25">
      <c r="A115" s="86"/>
      <c r="B115" s="85"/>
      <c r="C115" s="85"/>
      <c r="D115" s="85"/>
      <c r="E115" s="86"/>
      <c r="F115" s="85"/>
      <c r="G115" s="87"/>
      <c r="H115" s="88"/>
      <c r="I115" s="85"/>
      <c r="J115" s="85"/>
      <c r="K115" s="85"/>
    </row>
    <row r="116" spans="1:11" x14ac:dyDescent="0.25">
      <c r="A116" s="86"/>
      <c r="B116" s="85"/>
      <c r="C116" s="85"/>
      <c r="D116" s="85"/>
      <c r="E116" s="86"/>
      <c r="F116" s="85"/>
      <c r="G116" s="87"/>
      <c r="H116" s="88"/>
      <c r="I116" s="85"/>
      <c r="J116" s="85"/>
      <c r="K116" s="85"/>
    </row>
    <row r="117" spans="1:11" x14ac:dyDescent="0.25">
      <c r="A117" s="86"/>
      <c r="B117" s="85"/>
      <c r="C117" s="85"/>
      <c r="D117" s="85"/>
      <c r="E117" s="86"/>
      <c r="F117" s="85"/>
      <c r="G117" s="87"/>
      <c r="H117" s="88"/>
      <c r="I117" s="85"/>
      <c r="J117" s="85"/>
      <c r="K117" s="85"/>
    </row>
    <row r="118" spans="1:11" x14ac:dyDescent="0.25">
      <c r="A118" s="86"/>
      <c r="B118" s="85"/>
      <c r="C118" s="85"/>
      <c r="D118" s="85"/>
      <c r="E118" s="86"/>
      <c r="F118" s="85"/>
      <c r="G118" s="87"/>
      <c r="H118" s="88"/>
      <c r="I118" s="85"/>
      <c r="J118" s="85"/>
      <c r="K118" s="85"/>
    </row>
    <row r="119" spans="1:11" x14ac:dyDescent="0.25">
      <c r="A119" s="86"/>
      <c r="B119" s="85"/>
      <c r="C119" s="85"/>
      <c r="D119" s="85"/>
      <c r="E119" s="86"/>
      <c r="F119" s="85"/>
      <c r="G119" s="87"/>
      <c r="H119" s="88"/>
      <c r="I119" s="85"/>
      <c r="J119" s="85"/>
      <c r="K119" s="85"/>
    </row>
    <row r="120" spans="1:11" x14ac:dyDescent="0.25">
      <c r="A120" s="86"/>
      <c r="B120" s="85"/>
      <c r="C120" s="85"/>
      <c r="D120" s="85"/>
      <c r="E120" s="86"/>
      <c r="F120" s="85"/>
      <c r="G120" s="87"/>
      <c r="H120" s="88"/>
      <c r="I120" s="85"/>
      <c r="J120" s="85"/>
      <c r="K120" s="85"/>
    </row>
    <row r="121" spans="1:11" x14ac:dyDescent="0.25">
      <c r="A121" s="86"/>
      <c r="B121" s="85"/>
      <c r="C121" s="85"/>
      <c r="D121" s="85"/>
      <c r="E121" s="86"/>
      <c r="F121" s="85"/>
      <c r="G121" s="87"/>
      <c r="H121" s="88"/>
      <c r="I121" s="85"/>
      <c r="J121" s="85"/>
      <c r="K121" s="85"/>
    </row>
    <row r="122" spans="1:11" x14ac:dyDescent="0.25">
      <c r="A122" s="86"/>
      <c r="B122" s="85"/>
      <c r="C122" s="85"/>
      <c r="D122" s="85"/>
      <c r="E122" s="86"/>
      <c r="F122" s="85"/>
      <c r="G122" s="87"/>
      <c r="H122" s="88"/>
      <c r="I122" s="85"/>
      <c r="J122" s="85"/>
      <c r="K122" s="85"/>
    </row>
    <row r="123" spans="1:11" x14ac:dyDescent="0.25">
      <c r="A123" s="86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6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6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6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6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6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6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6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6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6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6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6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6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6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6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6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6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6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6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6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6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6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6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6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6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6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6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6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6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6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6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6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6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6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6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6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6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6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6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6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6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6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6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6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6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6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6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6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6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6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6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6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6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6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6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6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6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6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6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6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6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6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6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6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6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6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6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6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6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6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6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6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6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6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6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6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6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6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6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6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6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6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6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6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6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6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6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6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6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6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6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6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6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6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6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6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6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6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6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6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6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6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6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6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6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6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6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6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6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6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6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6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6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6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6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6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6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6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6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6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6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6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6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6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6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6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6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6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6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6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6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6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6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6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6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6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6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6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6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6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6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6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6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6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6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6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6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6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6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6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6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6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6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6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6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6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6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6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6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6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6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6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6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6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6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6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6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6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6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6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6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6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6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6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6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6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6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6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6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6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6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6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6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6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6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6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6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6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6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6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6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6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6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6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6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6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6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6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6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6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6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6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6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6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6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6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6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6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6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6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6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6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6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6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6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март</vt:lpstr>
      <vt:lpstr>апрель</vt:lpstr>
      <vt:lpstr>май</vt:lpstr>
      <vt:lpstr>июнь</vt:lpstr>
      <vt:lpstr>июль</vt:lpstr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Режим</dc:creator>
  <cp:lastModifiedBy>Режим1</cp:lastModifiedBy>
  <dcterms:created xsi:type="dcterms:W3CDTF">2021-04-16T04:59:45Z</dcterms:created>
  <dcterms:modified xsi:type="dcterms:W3CDTF">2021-09-16T05:47:02Z</dcterms:modified>
</cp:coreProperties>
</file>