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/>
  </bookViews>
  <sheets>
    <sheet name="ЖЭУ  за май 2026г." sheetId="3" r:id="rId1"/>
    <sheet name="БЭУ за май 2026г." sheetId="50" r:id="rId2"/>
  </sheets>
  <definedNames>
    <definedName name="_xlnm.Print_Area" localSheetId="1">'БЭУ за май 2026г.'!$A$1:$I$108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3" l="1"/>
  <c r="G87" i="3" l="1"/>
  <c r="G102" i="3"/>
  <c r="G30" i="3"/>
  <c r="G28" i="3"/>
  <c r="G26" i="3"/>
  <c r="G90" i="3"/>
  <c r="G107" i="3"/>
  <c r="G106" i="3"/>
  <c r="G105" i="3"/>
  <c r="G24" i="3"/>
  <c r="G69" i="3" l="1"/>
  <c r="G68" i="3"/>
  <c r="G19" i="3"/>
  <c r="G18" i="3"/>
  <c r="G22" i="3"/>
  <c r="G100" i="3"/>
  <c r="G99" i="3"/>
  <c r="G98" i="3"/>
  <c r="G94" i="3"/>
  <c r="G92" i="3"/>
  <c r="G21" i="3"/>
  <c r="G20" i="3"/>
  <c r="G17" i="3"/>
  <c r="G16" i="3"/>
  <c r="G96" i="3"/>
  <c r="G93" i="3"/>
  <c r="G15" i="3"/>
  <c r="G53" i="3"/>
  <c r="G52" i="3"/>
  <c r="G51" i="3"/>
  <c r="G50" i="3"/>
  <c r="G49" i="3"/>
  <c r="G45" i="3"/>
  <c r="G46" i="3"/>
  <c r="G47" i="3"/>
  <c r="G39" i="3"/>
  <c r="G38" i="3"/>
  <c r="G85" i="3"/>
  <c r="G84" i="3"/>
  <c r="G37" i="3"/>
  <c r="G36" i="3"/>
  <c r="G82" i="3"/>
  <c r="G81" i="3"/>
  <c r="G80" i="3"/>
  <c r="G78" i="3"/>
  <c r="G77" i="3"/>
  <c r="G76" i="3"/>
  <c r="G75" i="3"/>
  <c r="G74" i="3"/>
  <c r="G73" i="3"/>
  <c r="G72" i="3"/>
  <c r="G71" i="3"/>
  <c r="G35" i="3"/>
  <c r="G34" i="3"/>
  <c r="G66" i="3"/>
  <c r="G65" i="3"/>
  <c r="G13" i="3"/>
  <c r="G12" i="3"/>
  <c r="G108" i="50" l="1"/>
  <c r="F108" i="50"/>
  <c r="H108" i="50" s="1"/>
  <c r="H107" i="50"/>
  <c r="G107" i="50"/>
  <c r="F107" i="50"/>
  <c r="G105" i="50"/>
  <c r="H105" i="50" s="1"/>
  <c r="F105" i="50"/>
  <c r="G104" i="50"/>
  <c r="F104" i="50"/>
  <c r="H104" i="50" s="1"/>
  <c r="G103" i="50"/>
  <c r="F103" i="50"/>
  <c r="H103" i="50" s="1"/>
  <c r="H101" i="50"/>
  <c r="G101" i="50"/>
  <c r="F101" i="50"/>
  <c r="G99" i="50"/>
  <c r="H99" i="50" s="1"/>
  <c r="F99" i="50"/>
  <c r="G97" i="50"/>
  <c r="F97" i="50"/>
  <c r="H97" i="50" s="1"/>
  <c r="G96" i="50"/>
  <c r="F96" i="50"/>
  <c r="H96" i="50" s="1"/>
  <c r="H94" i="50"/>
  <c r="G94" i="50"/>
  <c r="F94" i="50"/>
  <c r="G92" i="50"/>
  <c r="H92" i="50" s="1"/>
  <c r="F92" i="50"/>
  <c r="G90" i="50"/>
  <c r="F90" i="50"/>
  <c r="H90" i="50" s="1"/>
  <c r="G89" i="50"/>
  <c r="F89" i="50"/>
  <c r="H89" i="50" s="1"/>
  <c r="H87" i="50"/>
  <c r="G87" i="50"/>
  <c r="F87" i="50"/>
  <c r="G86" i="50"/>
  <c r="H86" i="50" s="1"/>
  <c r="F86" i="50"/>
  <c r="G85" i="50"/>
  <c r="F85" i="50"/>
  <c r="H85" i="50" s="1"/>
  <c r="F83" i="50"/>
  <c r="F81" i="50"/>
  <c r="G79" i="50"/>
  <c r="H79" i="50" s="1"/>
  <c r="F79" i="50"/>
  <c r="G78" i="50"/>
  <c r="F78" i="50"/>
  <c r="H78" i="50" s="1"/>
  <c r="F77" i="50"/>
  <c r="H77" i="50" s="1"/>
  <c r="G76" i="50"/>
  <c r="H76" i="50" s="1"/>
  <c r="F76" i="50"/>
  <c r="G75" i="50"/>
  <c r="F75" i="50"/>
  <c r="H75" i="50" s="1"/>
  <c r="G73" i="50"/>
  <c r="F73" i="50"/>
  <c r="H73" i="50" s="1"/>
  <c r="H72" i="50"/>
  <c r="G72" i="50"/>
  <c r="F72" i="50"/>
  <c r="G70" i="50"/>
  <c r="H70" i="50" s="1"/>
  <c r="F70" i="50"/>
  <c r="F69" i="50"/>
  <c r="H69" i="50" s="1"/>
  <c r="H68" i="50"/>
  <c r="G68" i="50"/>
  <c r="F68" i="50"/>
  <c r="G66" i="50"/>
  <c r="H66" i="50" s="1"/>
  <c r="F66" i="50"/>
  <c r="G65" i="50"/>
  <c r="F65" i="50"/>
  <c r="H65" i="50" s="1"/>
  <c r="G64" i="50"/>
  <c r="F64" i="50"/>
  <c r="H64" i="50" s="1"/>
  <c r="H63" i="50"/>
  <c r="G63" i="50"/>
  <c r="F63" i="50"/>
  <c r="G62" i="50"/>
  <c r="H62" i="50" s="1"/>
  <c r="F62" i="50"/>
  <c r="G61" i="50"/>
  <c r="F61" i="50"/>
  <c r="H61" i="50" s="1"/>
  <c r="G60" i="50"/>
  <c r="F60" i="50"/>
  <c r="H60" i="50" s="1"/>
  <c r="H59" i="50"/>
  <c r="G59" i="50"/>
  <c r="F59" i="50"/>
  <c r="G58" i="50"/>
  <c r="H58" i="50" s="1"/>
  <c r="F58" i="50"/>
  <c r="G57" i="50"/>
  <c r="F57" i="50"/>
  <c r="H57" i="50" s="1"/>
  <c r="G56" i="50"/>
  <c r="F56" i="50"/>
  <c r="H56" i="50" s="1"/>
  <c r="H49" i="50"/>
  <c r="G49" i="50"/>
  <c r="G47" i="50"/>
  <c r="H47" i="50" s="1"/>
  <c r="H46" i="50"/>
  <c r="G46" i="50"/>
  <c r="G44" i="50"/>
  <c r="H44" i="50" s="1"/>
  <c r="H43" i="50"/>
  <c r="G43" i="50"/>
  <c r="G42" i="50"/>
  <c r="H42" i="50" s="1"/>
  <c r="H39" i="50"/>
  <c r="G39" i="50"/>
  <c r="G38" i="50"/>
  <c r="H38" i="50" s="1"/>
  <c r="H34" i="50"/>
  <c r="G34" i="50"/>
  <c r="G33" i="50"/>
  <c r="H33" i="50" s="1"/>
  <c r="H32" i="50"/>
  <c r="G32" i="50"/>
  <c r="G31" i="50"/>
  <c r="H31" i="50" s="1"/>
  <c r="H30" i="50"/>
  <c r="G30" i="50"/>
  <c r="G29" i="50"/>
  <c r="H29" i="50" s="1"/>
  <c r="H28" i="50"/>
  <c r="G28" i="50"/>
  <c r="G27" i="50"/>
  <c r="G26" i="50"/>
  <c r="H26" i="50" s="1"/>
  <c r="G24" i="50"/>
  <c r="H24" i="50" s="1"/>
  <c r="G23" i="50"/>
  <c r="H23" i="50" s="1"/>
  <c r="G22" i="50"/>
  <c r="H22" i="50" s="1"/>
  <c r="G21" i="50"/>
  <c r="H21" i="50" s="1"/>
  <c r="G20" i="50"/>
  <c r="H20" i="50" s="1"/>
  <c r="G18" i="50"/>
  <c r="H18" i="50" s="1"/>
  <c r="G17" i="50"/>
  <c r="H17" i="50" s="1"/>
  <c r="G16" i="50"/>
  <c r="H16" i="50" s="1"/>
  <c r="G15" i="50"/>
  <c r="H15" i="50" s="1"/>
  <c r="G14" i="50"/>
  <c r="H14" i="50" s="1"/>
  <c r="G13" i="50"/>
  <c r="H13" i="50" s="1"/>
  <c r="G12" i="50"/>
  <c r="H12" i="50" s="1"/>
  <c r="G11" i="50"/>
  <c r="H11" i="50" s="1"/>
  <c r="G29" i="3" l="1"/>
  <c r="G48" i="3"/>
  <c r="G40" i="3" l="1"/>
  <c r="N22" i="3" l="1"/>
  <c r="I22" i="3"/>
  <c r="G59" i="3" l="1"/>
  <c r="G23" i="3" l="1"/>
  <c r="H64" i="3" l="1"/>
  <c r="G104" i="3" l="1"/>
  <c r="H51" i="3"/>
  <c r="G108" i="3" l="1"/>
  <c r="H35" i="3"/>
  <c r="H34" i="3" l="1"/>
  <c r="H23" i="3" l="1"/>
  <c r="H49" i="3"/>
  <c r="H48" i="3"/>
  <c r="G41" i="3"/>
  <c r="G54" i="3" s="1"/>
  <c r="G110" i="3" s="1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<sst xmlns="http://schemas.openxmlformats.org/spreadsheetml/2006/main" count="498" uniqueCount="316">
  <si>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</si>
  <si>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</si>
  <si>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</si>
  <si>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</si>
  <si>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</si>
  <si>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</si>
  <si>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</si>
  <si>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</si>
  <si>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</si>
  <si>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</si>
  <si>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</si>
  <si>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</si>
  <si>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</si>
  <si>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</si>
  <si>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</si>
  <si>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</si>
  <si>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</si>
  <si>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</si>
  <si>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</si>
  <si>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</si>
  <si>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</si>
  <si>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</si>
  <si>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</si>
  <si>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</si>
  <si>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</si>
  <si>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</si>
  <si>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</si>
  <si>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</si>
  <si>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</si>
  <si>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</si>
  <si>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</si>
  <si>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</si>
  <si>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</si>
  <si>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</si>
  <si>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</si>
  <si>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</si>
  <si>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</si>
  <si>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</si>
  <si>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</si>
  <si>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</si>
  <si>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</si>
  <si>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</si>
  <si>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</si>
  <si>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</si>
  <si>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</si>
  <si>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</si>
  <si>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</si>
  <si>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</si>
  <si>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</si>
  <si>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</si>
  <si>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</si>
  <si>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</si>
  <si>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</si>
  <si>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</si>
  <si>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</si>
  <si>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</si>
  <si>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</si>
  <si>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</si>
  <si>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</si>
  <si>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</si>
  <si>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</si>
  <si>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</si>
  <si>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</si>
  <si>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</si>
  <si>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</si>
  <si>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</si>
  <si>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</si>
  <si>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</si>
  <si>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</si>
  <si>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</si>
  <si>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</si>
  <si>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</si>
  <si>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</si>
  <si>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</si>
  <si>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</si>
  <si>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</si>
  <si>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</si>
  <si>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</si>
  <si>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</si>
  <si>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</si>
  <si>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</si>
  <si>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</si>
  <si>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</si>
  <si>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</si>
  <si>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</si>
  <si>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</si>
  <si>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</si>
  <si>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</si>
  <si>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</si>
  <si>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</si>
  <si>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</si>
  <si>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</si>
  <si>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</si>
  <si>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</si>
  <si>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</si>
  <si>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</si>
  <si>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</si>
  <si>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</si>
  <si>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</si>
  <si>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</si>
  <si>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</si>
  <si>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</si>
  <si>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</si>
  <si>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</si>
  <si>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</si>
  <si>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</si>
  <si>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</si>
  <si>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</si>
  <si>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</si>
  <si>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</si>
  <si>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</si>
  <si>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</si>
  <si>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</si>
  <si>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</si>
  <si>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</si>
  <si>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</si>
  <si>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</si>
  <si>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</si>
  <si>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</si>
  <si>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</si>
  <si>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</si>
  <si>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</si>
  <si>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</si>
  <si>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</si>
  <si>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</si>
  <si>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</si>
  <si>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</si>
  <si>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</si>
  <si>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</si>
  <si>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</si>
  <si>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</si>
  <si>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</si>
  <si>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</si>
  <si>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</si>
  <si>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</si>
  <si>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</si>
  <si>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</si>
  <si>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</si>
  <si>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</si>
  <si>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</si>
  <si>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</si>
  <si>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</si>
  <si>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</si>
  <si>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</si>
  <si>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</si>
  <si>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</si>
  <si>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</si>
  <si>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</si>
  <si>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</si>
  <si>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</si>
  <si>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</si>
  <si>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</si>
  <si>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</si>
  <si>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</si>
  <si>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</si>
  <si>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</si>
  <si>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</si>
  <si>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</si>
  <si>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</si>
  <si>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</si>
  <si>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</si>
  <si>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</si>
  <si>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</si>
  <si>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</si>
  <si>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</si>
  <si>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</si>
  <si>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</si>
  <si>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</si>
  <si>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</si>
  <si>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</si>
  <si>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</si>
  <si>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</si>
  <si>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</si>
  <si>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</si>
  <si>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</si>
  <si>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</si>
  <si>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</si>
  <si>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</si>
  <si>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</si>
  <si>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</si>
  <si>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</si>
  <si>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</si>
  <si>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</si>
  <si>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</si>
  <si>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</si>
  <si>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</si>
  <si>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</si>
  <si>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</si>
  <si>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</si>
  <si>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</si>
  <si>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</si>
  <si>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</si>
  <si>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</si>
  <si>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</si>
  <si>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</si>
  <si>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</si>
  <si>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</si>
  <si>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</si>
  <si>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</si>
  <si>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</si>
  <si>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</si>
  <si>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</si>
  <si>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</si>
  <si>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</si>
  <si>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</si>
  <si>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</si>
  <si>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</si>
  <si>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</si>
  <si>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</si>
  <si>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</si>
  <si>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</si>
  <si>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</si>
  <si>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</si>
  <si>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</si>
  <si>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</si>
  <si>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</si>
  <si>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</si>
  <si>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</si>
  <si>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</si>
  <si>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</si>
  <si>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</si>
  <si>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</si>
  <si>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</si>
  <si>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</si>
  <si>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</si>
  <si>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</si>
  <si>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</si>
  <si>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</si>
  <si>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</si>
  <si>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</si>
  <si>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</si>
  <si>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</si>
  <si>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</si>
  <si>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</si>
  <si>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</si>
  <si>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</si>
  <si>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</si>
  <si>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</si>
  <si>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</si>
  <si>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</si>
  <si>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</si>
  <si>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</si>
  <si>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</si>
  <si>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</si>
  <si>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</si>
  <si>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</si>
  <si>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</si>
  <si>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</si>
  <si>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</si>
  <si>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</si>
  <si>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</si>
  <si>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</si>
  <si>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</si>
  <si>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</si>
  <si>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</si>
  <si>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</si>
  <si>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</si>
  <si>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</si>
  <si>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</si>
  <si>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</si>
  <si>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</si>
  <si>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</si>
  <si>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</si>
  <si>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</si>
  <si>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</si>
  <si>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</si>
  <si>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</si>
  <si>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</si>
  <si>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</si>
  <si>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</si>
  <si>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</si>
  <si>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</si>
  <si>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</si>
  <si>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</si>
  <si>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</si>
  <si>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</si>
  <si>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</si>
  <si>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</si>
  <si>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</si>
  <si>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</si>
  <si>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</si>
  <si>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</si>
  <si>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</si>
  <si>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</si>
  <si>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</si>
  <si>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</si>
  <si>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</si>
  <si>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</si>
  <si>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</si>
  <si>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</si>
  <si>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</si>
  <si>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</si>
  <si>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</si>
  <si>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</si>
  <si>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</si>
  <si>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</si>
  <si>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</si>
  <si>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</si>
  <si>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</si>
  <si>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</si>
  <si>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</si>
  <si>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</si>
  <si>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</si>
  <si>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</si>
  <si>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</si>
  <si>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</si>
  <si>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</si>
  <si>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</si>
  <si>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</si>
  <si>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</si>
  <si>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</si>
  <si>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</si>
  <si>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</si>
  <si>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 xml:space="preserve">220/35/10кВ Жана-Арка </t>
  </si>
  <si>
    <t>Май 2026 года</t>
  </si>
  <si>
    <t>за май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</si>
</sst>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91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168" fontId="4" fillId="0" borderId="9" xfId="2" applyNumberFormat="1" applyFont="1" applyFill="1" applyBorder="1"/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165" fontId="2" fillId="0" borderId="5" xfId="1" applyNumberFormat="1" applyFont="1" applyFill="1" applyBorder="1"/>
    <xf numFmtId="165" fontId="2" fillId="0" borderId="7" xfId="1" applyNumberFormat="1" applyFont="1" applyFill="1" applyBorder="1"/>
    <xf numFmtId="0" fontId="9" fillId="0" borderId="0" xfId="3" applyFont="1" applyFill="1" applyAlignment="1">
      <alignment horizontal="left" indent="8"/>
    </xf>
    <xf numFmtId="0" fontId="10" fillId="0" borderId="0" xfId="3" applyFont="1" applyFill="1" applyAlignment="1">
      <alignment horizontal="center"/>
    </xf>
    <xf numFmtId="0" fontId="12" fillId="0" borderId="0" xfId="3" applyFont="1" applyFill="1" applyAlignment="1"/>
    <xf numFmtId="0" fontId="6" fillId="0" borderId="0" xfId="3" applyFill="1"/>
    <xf numFmtId="0" fontId="13" fillId="0" borderId="0" xfId="3" applyFont="1" applyFill="1"/>
    <xf numFmtId="0" fontId="14" fillId="0" borderId="0" xfId="3" applyFont="1" applyFill="1"/>
    <xf numFmtId="0" fontId="11" fillId="0" borderId="0" xfId="3" applyFont="1" applyFill="1" applyAlignment="1">
      <alignment horizontal="left" indent="1"/>
    </xf>
    <xf numFmtId="0" fontId="11" fillId="0" borderId="0" xfId="3" applyFont="1" applyFill="1" applyAlignment="1">
      <alignment horizontal="left" indent="5"/>
    </xf>
    <xf numFmtId="0" fontId="4" fillId="0" borderId="0" xfId="3" applyFont="1" applyFill="1" applyAlignment="1">
      <alignment horizontal="left"/>
    </xf>
    <xf numFmtId="0" fontId="15" fillId="0" borderId="0" xfId="3" applyFont="1" applyFill="1"/>
    <xf numFmtId="0" fontId="4" fillId="0" borderId="0" xfId="3" applyFont="1" applyFill="1" applyBorder="1"/>
    <xf numFmtId="0" fontId="11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16" fillId="0" borderId="0" xfId="3" applyFont="1" applyFill="1" applyBorder="1" applyAlignment="1"/>
    <xf numFmtId="0" fontId="4" fillId="0" borderId="10" xfId="3" applyFont="1" applyFill="1" applyBorder="1"/>
    <xf numFmtId="0" fontId="4" fillId="0" borderId="11" xfId="3" applyFont="1" applyFill="1" applyBorder="1"/>
    <xf numFmtId="0" fontId="4" fillId="0" borderId="11" xfId="3" applyFont="1" applyFill="1" applyBorder="1" applyAlignment="1">
      <alignment horizontal="center"/>
    </xf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4" fillId="0" borderId="14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6" xfId="3" applyFont="1" applyFill="1" applyBorder="1"/>
    <xf numFmtId="0" fontId="4" fillId="0" borderId="17" xfId="3" applyFont="1" applyFill="1" applyBorder="1"/>
    <xf numFmtId="0" fontId="4" fillId="0" borderId="17" xfId="3" applyFont="1" applyFill="1" applyBorder="1" applyAlignment="1">
      <alignment horizontal="center"/>
    </xf>
    <xf numFmtId="0" fontId="4" fillId="0" borderId="19" xfId="3" applyFont="1" applyFill="1" applyBorder="1"/>
    <xf numFmtId="0" fontId="4" fillId="0" borderId="6" xfId="3" applyFont="1" applyFill="1" applyBorder="1"/>
    <xf numFmtId="0" fontId="4" fillId="0" borderId="6" xfId="3" applyFont="1" applyFill="1" applyBorder="1" applyAlignment="1">
      <alignment horizontal="left"/>
    </xf>
    <xf numFmtId="0" fontId="6" fillId="0" borderId="20" xfId="3" applyFill="1" applyBorder="1"/>
    <xf numFmtId="0" fontId="5" fillId="0" borderId="21" xfId="3" applyFont="1" applyFill="1" applyBorder="1"/>
    <xf numFmtId="0" fontId="17" fillId="0" borderId="8" xfId="3" applyFont="1" applyFill="1" applyBorder="1"/>
    <xf numFmtId="0" fontId="4" fillId="0" borderId="8" xfId="3" applyFont="1" applyFill="1" applyBorder="1" applyAlignment="1">
      <alignment horizontal="left"/>
    </xf>
    <xf numFmtId="0" fontId="4" fillId="0" borderId="8" xfId="3" applyFont="1" applyFill="1" applyBorder="1"/>
    <xf numFmtId="0" fontId="6" fillId="0" borderId="22" xfId="3" applyFill="1" applyBorder="1"/>
    <xf numFmtId="0" fontId="4" fillId="0" borderId="21" xfId="3" applyFont="1" applyFill="1" applyBorder="1"/>
    <xf numFmtId="0" fontId="5" fillId="0" borderId="8" xfId="3" applyFont="1" applyFill="1" applyBorder="1"/>
    <xf numFmtId="0" fontId="18" fillId="0" borderId="8" xfId="3" applyFont="1" applyFill="1" applyBorder="1"/>
    <xf numFmtId="169" fontId="6" fillId="0" borderId="22" xfId="3" applyNumberFormat="1" applyFill="1" applyBorder="1" applyAlignment="1">
      <alignment horizontal="center"/>
    </xf>
    <xf numFmtId="169" fontId="6" fillId="0" borderId="0" xfId="3" applyNumberFormat="1" applyFill="1"/>
    <xf numFmtId="169" fontId="19" fillId="0" borderId="0" xfId="3" applyNumberFormat="1" applyFont="1" applyFill="1"/>
    <xf numFmtId="170" fontId="4" fillId="0" borderId="8" xfId="3" applyNumberFormat="1" applyFont="1" applyFill="1" applyBorder="1" applyAlignment="1">
      <alignment horizontal="center"/>
    </xf>
    <xf numFmtId="169" fontId="22" fillId="0" borderId="0" xfId="3" applyNumberFormat="1" applyFont="1" applyFill="1"/>
    <xf numFmtId="0" fontId="22" fillId="0" borderId="0" xfId="3" applyFont="1" applyFill="1"/>
    <xf numFmtId="0" fontId="26" fillId="0" borderId="0" xfId="3" applyFont="1" applyFill="1"/>
    <xf numFmtId="169" fontId="13" fillId="0" borderId="0" xfId="3" applyNumberFormat="1" applyFont="1" applyFill="1"/>
    <xf numFmtId="166" fontId="27" fillId="0" borderId="0" xfId="1" applyNumberFormat="1" applyFont="1" applyFill="1"/>
    <xf numFmtId="166" fontId="22" fillId="0" borderId="0" xfId="1" applyNumberFormat="1" applyFont="1" applyFill="1"/>
    <xf numFmtId="166" fontId="28" fillId="0" borderId="0" xfId="1" applyNumberFormat="1" applyFont="1" applyFill="1"/>
    <xf numFmtId="0" fontId="29" fillId="0" borderId="0" xfId="3" applyFont="1" applyFill="1"/>
    <xf numFmtId="0" fontId="25" fillId="0" borderId="8" xfId="3" applyFont="1" applyFill="1" applyBorder="1"/>
    <xf numFmtId="2" fontId="6" fillId="0" borderId="0" xfId="3" applyNumberFormat="1" applyFill="1"/>
    <xf numFmtId="0" fontId="20" fillId="0" borderId="21" xfId="3" applyFont="1" applyFill="1" applyBorder="1"/>
    <xf numFmtId="0" fontId="4" fillId="0" borderId="31" xfId="3" applyFont="1" applyFill="1" applyBorder="1"/>
    <xf numFmtId="0" fontId="4" fillId="0" borderId="24" xfId="3" applyFont="1" applyFill="1" applyBorder="1" applyAlignment="1">
      <alignment horizontal="left"/>
    </xf>
    <xf numFmtId="0" fontId="4" fillId="0" borderId="24" xfId="3" applyFont="1" applyFill="1" applyBorder="1"/>
    <xf numFmtId="0" fontId="4" fillId="0" borderId="24" xfId="3" applyFont="1" applyFill="1" applyBorder="1" applyAlignment="1">
      <alignment horizontal="center"/>
    </xf>
    <xf numFmtId="169" fontId="6" fillId="0" borderId="25" xfId="3" applyNumberForma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69" fontId="6" fillId="0" borderId="0" xfId="3" applyNumberForma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horizontal="left"/>
    </xf>
    <xf numFmtId="0" fontId="11" fillId="0" borderId="0" xfId="3" applyFont="1" applyFill="1" applyAlignment="1">
      <alignment horizontal="left"/>
    </xf>
    <xf numFmtId="0" fontId="11" fillId="0" borderId="0" xfId="3" applyFont="1" applyFill="1" applyAlignment="1">
      <alignment horizontal="center"/>
    </xf>
    <xf numFmtId="0" fontId="4" fillId="0" borderId="7" xfId="3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/>
    </xf>
    <xf numFmtId="2" fontId="4" fillId="0" borderId="5" xfId="3" applyNumberFormat="1" applyFont="1" applyFill="1" applyBorder="1" applyAlignment="1">
      <alignment horizontal="center"/>
    </xf>
    <xf numFmtId="0" fontId="4" fillId="0" borderId="1" xfId="3" applyFont="1" applyFill="1" applyBorder="1"/>
    <xf numFmtId="2" fontId="4" fillId="0" borderId="1" xfId="3" applyNumberFormat="1" applyFont="1" applyFill="1" applyBorder="1" applyAlignment="1">
      <alignment horizontal="center"/>
    </xf>
    <xf numFmtId="0" fontId="4" fillId="0" borderId="27" xfId="3" applyFont="1" applyFill="1" applyBorder="1"/>
    <xf numFmtId="0" fontId="4" fillId="0" borderId="26" xfId="3" applyFont="1" applyFill="1" applyBorder="1"/>
    <xf numFmtId="0" fontId="4" fillId="0" borderId="26" xfId="3" applyFont="1" applyFill="1" applyBorder="1" applyAlignment="1">
      <alignment horizontal="center"/>
    </xf>
    <xf numFmtId="2" fontId="4" fillId="0" borderId="26" xfId="3" applyNumberFormat="1" applyFont="1" applyFill="1" applyBorder="1" applyAlignment="1">
      <alignment horizontal="center"/>
    </xf>
    <xf numFmtId="0" fontId="4" fillId="0" borderId="28" xfId="3" applyFont="1" applyFill="1" applyBorder="1"/>
    <xf numFmtId="0" fontId="5" fillId="0" borderId="29" xfId="3" applyFont="1" applyFill="1" applyBorder="1"/>
    <xf numFmtId="0" fontId="5" fillId="0" borderId="29" xfId="3" applyFont="1" applyFill="1" applyBorder="1" applyAlignment="1">
      <alignment horizontal="center"/>
    </xf>
    <xf numFmtId="2" fontId="4" fillId="0" borderId="29" xfId="3" applyNumberFormat="1" applyFont="1" applyFill="1" applyBorder="1" applyAlignment="1">
      <alignment horizontal="center"/>
    </xf>
    <xf numFmtId="0" fontId="21" fillId="0" borderId="30" xfId="3" applyFont="1" applyFill="1" applyBorder="1"/>
    <xf numFmtId="169" fontId="4" fillId="0" borderId="22" xfId="3" applyNumberFormat="1" applyFont="1" applyFill="1" applyBorder="1" applyAlignment="1">
      <alignment horizontal="center"/>
    </xf>
    <xf numFmtId="0" fontId="5" fillId="0" borderId="8" xfId="3" applyFont="1" applyFill="1" applyBorder="1" applyAlignment="1">
      <alignment horizontal="center"/>
    </xf>
    <xf numFmtId="0" fontId="19" fillId="0" borderId="0" xfId="3" applyFont="1" applyFill="1"/>
    <xf numFmtId="0" fontId="24" fillId="0" borderId="0" xfId="3" applyFont="1" applyFill="1"/>
    <xf numFmtId="0" fontId="23" fillId="0" borderId="0" xfId="3" applyFont="1" applyFill="1"/>
    <xf numFmtId="0" fontId="4" fillId="0" borderId="23" xfId="3" applyFont="1" applyFill="1" applyBorder="1"/>
    <xf numFmtId="169" fontId="4" fillId="0" borderId="25" xfId="3" applyNumberFormat="1" applyFont="1" applyFill="1" applyBorder="1" applyAlignment="1">
      <alignment horizontal="center"/>
    </xf>
    <xf numFmtId="168" fontId="4" fillId="0" borderId="32" xfId="2" applyNumberFormat="1" applyFont="1" applyFill="1" applyBorder="1"/>
    <xf numFmtId="169" fontId="4" fillId="0" borderId="24" xfId="3" applyNumberFormat="1" applyFont="1" applyFill="1" applyBorder="1" applyAlignment="1">
      <alignment horizontal="center"/>
    </xf>
    <xf numFmtId="169" fontId="4" fillId="0" borderId="0" xfId="3" applyNumberFormat="1" applyFont="1" applyFill="1"/>
    <xf numFmtId="0" fontId="11" fillId="0" borderId="0" xfId="3" applyFont="1" applyFill="1" applyAlignment="1">
      <alignment horizontal="right"/>
    </xf>
    <xf numFmtId="0" fontId="4" fillId="0" borderId="7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16" fillId="0" borderId="0" xfId="3" applyFont="1" applyFill="1" applyBorder="1" applyAlignment="1">
      <alignment horizontal="right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11" fillId="0" borderId="0" xfId="3" applyFont="1" applyFill="1" applyAlignment="1">
      <alignment horizontal="right"/>
    </xf>
    <xf numFmtId="0" fontId="2" fillId="0" borderId="0" xfId="3" applyFont="1" applyFill="1" applyAlignment="1">
      <alignment horizontal="left" indent="7"/>
    </xf>
    <xf numFmtId="0" fontId="21" fillId="0" borderId="0" xfId="3" applyFont="1" applyFill="1" applyAlignment="1">
      <alignment horizontal="left" indent="7"/>
    </xf>
    <xf numFmtId="0" fontId="16" fillId="0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0"/>
  <sheetViews>
    <sheetView tabSelected="1" zoomScaleNormal="100" zoomScaleSheetLayoutView="135" workbookViewId="0">
      <selection activeCell="E19" sqref="E19"/>
    </sheetView>
  </sheetViews>
  <sheetFormatPr defaultRowHeight="15.6" x14ac:dyDescent="0.3"/>
  <cols>
    <col min="1" max="1" width="3.77734375" style="84" customWidth="1"/>
    <col min="2" max="2" width="26.5546875" style="84" customWidth="1"/>
    <col min="3" max="3" width="9.21875" style="84" customWidth="1"/>
    <col min="4" max="4" width="10.109375" style="84" customWidth="1"/>
    <col min="5" max="5" width="17.5546875" style="97" customWidth="1"/>
    <col min="6" max="6" width="14.21875" style="84" customWidth="1"/>
    <col min="7" max="7" width="12.21875" style="84" customWidth="1"/>
    <col min="8" max="8" width="12.21875" style="92" customWidth="1"/>
    <col min="9" max="9" width="14.5546875" style="92" hidden="1" customWidth="1"/>
    <col min="10" max="12" width="9.21875" style="92" hidden="1" customWidth="1"/>
    <col min="13" max="13" width="12.5546875" style="92" hidden="1" customWidth="1"/>
    <col min="14" max="14" width="13.88671875" style="92" hidden="1" customWidth="1"/>
    <col min="15" max="22" width="9.21875" style="92" hidden="1" customWidth="1"/>
    <col min="23" max="34" width="9.21875" style="92" customWidth="1"/>
    <col min="35" max="256" width="8.88671875" style="92"/>
    <col min="257" max="257" width="3.77734375" style="92" customWidth="1"/>
    <col min="258" max="258" width="26.5546875" style="92" customWidth="1"/>
    <col min="259" max="259" width="9.21875" style="92" customWidth="1"/>
    <col min="260" max="260" width="11.21875" style="92" customWidth="1"/>
    <col min="261" max="261" width="17.5546875" style="92" customWidth="1"/>
    <col min="262" max="262" width="14.21875" style="92" customWidth="1"/>
    <col min="263" max="264" width="12.21875" style="92" customWidth="1"/>
    <col min="265" max="265" width="11.77734375" style="92" customWidth="1"/>
    <col min="266" max="269" width="0" style="92" hidden="1" customWidth="1"/>
    <col min="270" max="272" width="9.21875" style="92" customWidth="1"/>
    <col min="273" max="275" width="0" style="92" hidden="1" customWidth="1"/>
    <col min="276" max="290" width="9.21875" style="92" customWidth="1"/>
    <col min="291" max="512" width="8.88671875" style="92"/>
    <col min="513" max="513" width="3.77734375" style="92" customWidth="1"/>
    <col min="514" max="514" width="26.5546875" style="92" customWidth="1"/>
    <col min="515" max="515" width="9.21875" style="92" customWidth="1"/>
    <col min="516" max="516" width="11.21875" style="92" customWidth="1"/>
    <col min="517" max="517" width="17.5546875" style="92" customWidth="1"/>
    <col min="518" max="518" width="14.21875" style="92" customWidth="1"/>
    <col min="519" max="520" width="12.21875" style="92" customWidth="1"/>
    <col min="521" max="521" width="11.77734375" style="92" customWidth="1"/>
    <col min="522" max="525" width="0" style="92" hidden="1" customWidth="1"/>
    <col min="526" max="528" width="9.21875" style="92" customWidth="1"/>
    <col min="529" max="531" width="0" style="92" hidden="1" customWidth="1"/>
    <col min="532" max="546" width="9.21875" style="92" customWidth="1"/>
    <col min="547" max="768" width="8.88671875" style="92"/>
    <col min="769" max="769" width="3.77734375" style="92" customWidth="1"/>
    <col min="770" max="770" width="26.5546875" style="92" customWidth="1"/>
    <col min="771" max="771" width="9.21875" style="92" customWidth="1"/>
    <col min="772" max="772" width="11.21875" style="92" customWidth="1"/>
    <col min="773" max="773" width="17.5546875" style="92" customWidth="1"/>
    <col min="774" max="774" width="14.21875" style="92" customWidth="1"/>
    <col min="775" max="776" width="12.21875" style="92" customWidth="1"/>
    <col min="777" max="777" width="11.77734375" style="92" customWidth="1"/>
    <col min="778" max="781" width="0" style="92" hidden="1" customWidth="1"/>
    <col min="782" max="784" width="9.21875" style="92" customWidth="1"/>
    <col min="785" max="787" width="0" style="92" hidden="1" customWidth="1"/>
    <col min="788" max="802" width="9.21875" style="92" customWidth="1"/>
    <col min="803" max="1024" width="8.88671875" style="92"/>
    <col min="1025" max="1025" width="3.77734375" style="92" customWidth="1"/>
    <col min="1026" max="1026" width="26.5546875" style="92" customWidth="1"/>
    <col min="1027" max="1027" width="9.21875" style="92" customWidth="1"/>
    <col min="1028" max="1028" width="11.21875" style="92" customWidth="1"/>
    <col min="1029" max="1029" width="17.5546875" style="92" customWidth="1"/>
    <col min="1030" max="1030" width="14.21875" style="92" customWidth="1"/>
    <col min="1031" max="1032" width="12.21875" style="92" customWidth="1"/>
    <col min="1033" max="1033" width="11.77734375" style="92" customWidth="1"/>
    <col min="1034" max="1037" width="0" style="92" hidden="1" customWidth="1"/>
    <col min="1038" max="1040" width="9.21875" style="92" customWidth="1"/>
    <col min="1041" max="1043" width="0" style="92" hidden="1" customWidth="1"/>
    <col min="1044" max="1058" width="9.21875" style="92" customWidth="1"/>
    <col min="1059" max="1280" width="8.88671875" style="92"/>
    <col min="1281" max="1281" width="3.77734375" style="92" customWidth="1"/>
    <col min="1282" max="1282" width="26.5546875" style="92" customWidth="1"/>
    <col min="1283" max="1283" width="9.21875" style="92" customWidth="1"/>
    <col min="1284" max="1284" width="11.21875" style="92" customWidth="1"/>
    <col min="1285" max="1285" width="17.5546875" style="92" customWidth="1"/>
    <col min="1286" max="1286" width="14.21875" style="92" customWidth="1"/>
    <col min="1287" max="1288" width="12.21875" style="92" customWidth="1"/>
    <col min="1289" max="1289" width="11.77734375" style="92" customWidth="1"/>
    <col min="1290" max="1293" width="0" style="92" hidden="1" customWidth="1"/>
    <col min="1294" max="1296" width="9.21875" style="92" customWidth="1"/>
    <col min="1297" max="1299" width="0" style="92" hidden="1" customWidth="1"/>
    <col min="1300" max="1314" width="9.21875" style="92" customWidth="1"/>
    <col min="1315" max="1536" width="8.88671875" style="92"/>
    <col min="1537" max="1537" width="3.77734375" style="92" customWidth="1"/>
    <col min="1538" max="1538" width="26.5546875" style="92" customWidth="1"/>
    <col min="1539" max="1539" width="9.21875" style="92" customWidth="1"/>
    <col min="1540" max="1540" width="11.21875" style="92" customWidth="1"/>
    <col min="1541" max="1541" width="17.5546875" style="92" customWidth="1"/>
    <col min="1542" max="1542" width="14.21875" style="92" customWidth="1"/>
    <col min="1543" max="1544" width="12.21875" style="92" customWidth="1"/>
    <col min="1545" max="1545" width="11.77734375" style="92" customWidth="1"/>
    <col min="1546" max="1549" width="0" style="92" hidden="1" customWidth="1"/>
    <col min="1550" max="1552" width="9.21875" style="92" customWidth="1"/>
    <col min="1553" max="1555" width="0" style="92" hidden="1" customWidth="1"/>
    <col min="1556" max="1570" width="9.21875" style="92" customWidth="1"/>
    <col min="1571" max="1792" width="8.88671875" style="92"/>
    <col min="1793" max="1793" width="3.77734375" style="92" customWidth="1"/>
    <col min="1794" max="1794" width="26.5546875" style="92" customWidth="1"/>
    <col min="1795" max="1795" width="9.21875" style="92" customWidth="1"/>
    <col min="1796" max="1796" width="11.21875" style="92" customWidth="1"/>
    <col min="1797" max="1797" width="17.5546875" style="92" customWidth="1"/>
    <col min="1798" max="1798" width="14.21875" style="92" customWidth="1"/>
    <col min="1799" max="1800" width="12.21875" style="92" customWidth="1"/>
    <col min="1801" max="1801" width="11.77734375" style="92" customWidth="1"/>
    <col min="1802" max="1805" width="0" style="92" hidden="1" customWidth="1"/>
    <col min="1806" max="1808" width="9.21875" style="92" customWidth="1"/>
    <col min="1809" max="1811" width="0" style="92" hidden="1" customWidth="1"/>
    <col min="1812" max="1826" width="9.21875" style="92" customWidth="1"/>
    <col min="1827" max="2048" width="8.88671875" style="92"/>
    <col min="2049" max="2049" width="3.77734375" style="92" customWidth="1"/>
    <col min="2050" max="2050" width="26.5546875" style="92" customWidth="1"/>
    <col min="2051" max="2051" width="9.21875" style="92" customWidth="1"/>
    <col min="2052" max="2052" width="11.21875" style="92" customWidth="1"/>
    <col min="2053" max="2053" width="17.5546875" style="92" customWidth="1"/>
    <col min="2054" max="2054" width="14.21875" style="92" customWidth="1"/>
    <col min="2055" max="2056" width="12.21875" style="92" customWidth="1"/>
    <col min="2057" max="2057" width="11.77734375" style="92" customWidth="1"/>
    <col min="2058" max="2061" width="0" style="92" hidden="1" customWidth="1"/>
    <col min="2062" max="2064" width="9.21875" style="92" customWidth="1"/>
    <col min="2065" max="2067" width="0" style="92" hidden="1" customWidth="1"/>
    <col min="2068" max="2082" width="9.21875" style="92" customWidth="1"/>
    <col min="2083" max="2304" width="8.88671875" style="92"/>
    <col min="2305" max="2305" width="3.77734375" style="92" customWidth="1"/>
    <col min="2306" max="2306" width="26.5546875" style="92" customWidth="1"/>
    <col min="2307" max="2307" width="9.21875" style="92" customWidth="1"/>
    <col min="2308" max="2308" width="11.21875" style="92" customWidth="1"/>
    <col min="2309" max="2309" width="17.5546875" style="92" customWidth="1"/>
    <col min="2310" max="2310" width="14.21875" style="92" customWidth="1"/>
    <col min="2311" max="2312" width="12.21875" style="92" customWidth="1"/>
    <col min="2313" max="2313" width="11.77734375" style="92" customWidth="1"/>
    <col min="2314" max="2317" width="0" style="92" hidden="1" customWidth="1"/>
    <col min="2318" max="2320" width="9.21875" style="92" customWidth="1"/>
    <col min="2321" max="2323" width="0" style="92" hidden="1" customWidth="1"/>
    <col min="2324" max="2338" width="9.21875" style="92" customWidth="1"/>
    <col min="2339" max="2560" width="8.88671875" style="92"/>
    <col min="2561" max="2561" width="3.77734375" style="92" customWidth="1"/>
    <col min="2562" max="2562" width="26.5546875" style="92" customWidth="1"/>
    <col min="2563" max="2563" width="9.21875" style="92" customWidth="1"/>
    <col min="2564" max="2564" width="11.21875" style="92" customWidth="1"/>
    <col min="2565" max="2565" width="17.5546875" style="92" customWidth="1"/>
    <col min="2566" max="2566" width="14.21875" style="92" customWidth="1"/>
    <col min="2567" max="2568" width="12.21875" style="92" customWidth="1"/>
    <col min="2569" max="2569" width="11.77734375" style="92" customWidth="1"/>
    <col min="2570" max="2573" width="0" style="92" hidden="1" customWidth="1"/>
    <col min="2574" max="2576" width="9.21875" style="92" customWidth="1"/>
    <col min="2577" max="2579" width="0" style="92" hidden="1" customWidth="1"/>
    <col min="2580" max="2594" width="9.21875" style="92" customWidth="1"/>
    <col min="2595" max="2816" width="8.88671875" style="92"/>
    <col min="2817" max="2817" width="3.77734375" style="92" customWidth="1"/>
    <col min="2818" max="2818" width="26.5546875" style="92" customWidth="1"/>
    <col min="2819" max="2819" width="9.21875" style="92" customWidth="1"/>
    <col min="2820" max="2820" width="11.21875" style="92" customWidth="1"/>
    <col min="2821" max="2821" width="17.5546875" style="92" customWidth="1"/>
    <col min="2822" max="2822" width="14.21875" style="92" customWidth="1"/>
    <col min="2823" max="2824" width="12.21875" style="92" customWidth="1"/>
    <col min="2825" max="2825" width="11.77734375" style="92" customWidth="1"/>
    <col min="2826" max="2829" width="0" style="92" hidden="1" customWidth="1"/>
    <col min="2830" max="2832" width="9.21875" style="92" customWidth="1"/>
    <col min="2833" max="2835" width="0" style="92" hidden="1" customWidth="1"/>
    <col min="2836" max="2850" width="9.21875" style="92" customWidth="1"/>
    <col min="2851" max="3072" width="8.88671875" style="92"/>
    <col min="3073" max="3073" width="3.77734375" style="92" customWidth="1"/>
    <col min="3074" max="3074" width="26.5546875" style="92" customWidth="1"/>
    <col min="3075" max="3075" width="9.21875" style="92" customWidth="1"/>
    <col min="3076" max="3076" width="11.21875" style="92" customWidth="1"/>
    <col min="3077" max="3077" width="17.5546875" style="92" customWidth="1"/>
    <col min="3078" max="3078" width="14.21875" style="92" customWidth="1"/>
    <col min="3079" max="3080" width="12.21875" style="92" customWidth="1"/>
    <col min="3081" max="3081" width="11.77734375" style="92" customWidth="1"/>
    <col min="3082" max="3085" width="0" style="92" hidden="1" customWidth="1"/>
    <col min="3086" max="3088" width="9.21875" style="92" customWidth="1"/>
    <col min="3089" max="3091" width="0" style="92" hidden="1" customWidth="1"/>
    <col min="3092" max="3106" width="9.21875" style="92" customWidth="1"/>
    <col min="3107" max="3328" width="8.88671875" style="92"/>
    <col min="3329" max="3329" width="3.77734375" style="92" customWidth="1"/>
    <col min="3330" max="3330" width="26.5546875" style="92" customWidth="1"/>
    <col min="3331" max="3331" width="9.21875" style="92" customWidth="1"/>
    <col min="3332" max="3332" width="11.21875" style="92" customWidth="1"/>
    <col min="3333" max="3333" width="17.5546875" style="92" customWidth="1"/>
    <col min="3334" max="3334" width="14.21875" style="92" customWidth="1"/>
    <col min="3335" max="3336" width="12.21875" style="92" customWidth="1"/>
    <col min="3337" max="3337" width="11.77734375" style="92" customWidth="1"/>
    <col min="3338" max="3341" width="0" style="92" hidden="1" customWidth="1"/>
    <col min="3342" max="3344" width="9.21875" style="92" customWidth="1"/>
    <col min="3345" max="3347" width="0" style="92" hidden="1" customWidth="1"/>
    <col min="3348" max="3362" width="9.21875" style="92" customWidth="1"/>
    <col min="3363" max="3584" width="8.88671875" style="92"/>
    <col min="3585" max="3585" width="3.77734375" style="92" customWidth="1"/>
    <col min="3586" max="3586" width="26.5546875" style="92" customWidth="1"/>
    <col min="3587" max="3587" width="9.21875" style="92" customWidth="1"/>
    <col min="3588" max="3588" width="11.21875" style="92" customWidth="1"/>
    <col min="3589" max="3589" width="17.5546875" style="92" customWidth="1"/>
    <col min="3590" max="3590" width="14.21875" style="92" customWidth="1"/>
    <col min="3591" max="3592" width="12.21875" style="92" customWidth="1"/>
    <col min="3593" max="3593" width="11.77734375" style="92" customWidth="1"/>
    <col min="3594" max="3597" width="0" style="92" hidden="1" customWidth="1"/>
    <col min="3598" max="3600" width="9.21875" style="92" customWidth="1"/>
    <col min="3601" max="3603" width="0" style="92" hidden="1" customWidth="1"/>
    <col min="3604" max="3618" width="9.21875" style="92" customWidth="1"/>
    <col min="3619" max="3840" width="8.88671875" style="92"/>
    <col min="3841" max="3841" width="3.77734375" style="92" customWidth="1"/>
    <col min="3842" max="3842" width="26.5546875" style="92" customWidth="1"/>
    <col min="3843" max="3843" width="9.21875" style="92" customWidth="1"/>
    <col min="3844" max="3844" width="11.21875" style="92" customWidth="1"/>
    <col min="3845" max="3845" width="17.5546875" style="92" customWidth="1"/>
    <col min="3846" max="3846" width="14.21875" style="92" customWidth="1"/>
    <col min="3847" max="3848" width="12.21875" style="92" customWidth="1"/>
    <col min="3849" max="3849" width="11.77734375" style="92" customWidth="1"/>
    <col min="3850" max="3853" width="0" style="92" hidden="1" customWidth="1"/>
    <col min="3854" max="3856" width="9.21875" style="92" customWidth="1"/>
    <col min="3857" max="3859" width="0" style="92" hidden="1" customWidth="1"/>
    <col min="3860" max="3874" width="9.21875" style="92" customWidth="1"/>
    <col min="3875" max="4096" width="8.88671875" style="92"/>
    <col min="4097" max="4097" width="3.77734375" style="92" customWidth="1"/>
    <col min="4098" max="4098" width="26.5546875" style="92" customWidth="1"/>
    <col min="4099" max="4099" width="9.21875" style="92" customWidth="1"/>
    <col min="4100" max="4100" width="11.21875" style="92" customWidth="1"/>
    <col min="4101" max="4101" width="17.5546875" style="92" customWidth="1"/>
    <col min="4102" max="4102" width="14.21875" style="92" customWidth="1"/>
    <col min="4103" max="4104" width="12.21875" style="92" customWidth="1"/>
    <col min="4105" max="4105" width="11.77734375" style="92" customWidth="1"/>
    <col min="4106" max="4109" width="0" style="92" hidden="1" customWidth="1"/>
    <col min="4110" max="4112" width="9.21875" style="92" customWidth="1"/>
    <col min="4113" max="4115" width="0" style="92" hidden="1" customWidth="1"/>
    <col min="4116" max="4130" width="9.21875" style="92" customWidth="1"/>
    <col min="4131" max="4352" width="8.88671875" style="92"/>
    <col min="4353" max="4353" width="3.77734375" style="92" customWidth="1"/>
    <col min="4354" max="4354" width="26.5546875" style="92" customWidth="1"/>
    <col min="4355" max="4355" width="9.21875" style="92" customWidth="1"/>
    <col min="4356" max="4356" width="11.21875" style="92" customWidth="1"/>
    <col min="4357" max="4357" width="17.5546875" style="92" customWidth="1"/>
    <col min="4358" max="4358" width="14.21875" style="92" customWidth="1"/>
    <col min="4359" max="4360" width="12.21875" style="92" customWidth="1"/>
    <col min="4361" max="4361" width="11.77734375" style="92" customWidth="1"/>
    <col min="4362" max="4365" width="0" style="92" hidden="1" customWidth="1"/>
    <col min="4366" max="4368" width="9.21875" style="92" customWidth="1"/>
    <col min="4369" max="4371" width="0" style="92" hidden="1" customWidth="1"/>
    <col min="4372" max="4386" width="9.21875" style="92" customWidth="1"/>
    <col min="4387" max="4608" width="8.88671875" style="92"/>
    <col min="4609" max="4609" width="3.77734375" style="92" customWidth="1"/>
    <col min="4610" max="4610" width="26.5546875" style="92" customWidth="1"/>
    <col min="4611" max="4611" width="9.21875" style="92" customWidth="1"/>
    <col min="4612" max="4612" width="11.21875" style="92" customWidth="1"/>
    <col min="4613" max="4613" width="17.5546875" style="92" customWidth="1"/>
    <col min="4614" max="4614" width="14.21875" style="92" customWidth="1"/>
    <col min="4615" max="4616" width="12.21875" style="92" customWidth="1"/>
    <col min="4617" max="4617" width="11.77734375" style="92" customWidth="1"/>
    <col min="4618" max="4621" width="0" style="92" hidden="1" customWidth="1"/>
    <col min="4622" max="4624" width="9.21875" style="92" customWidth="1"/>
    <col min="4625" max="4627" width="0" style="92" hidden="1" customWidth="1"/>
    <col min="4628" max="4642" width="9.21875" style="92" customWidth="1"/>
    <col min="4643" max="4864" width="8.88671875" style="92"/>
    <col min="4865" max="4865" width="3.77734375" style="92" customWidth="1"/>
    <col min="4866" max="4866" width="26.5546875" style="92" customWidth="1"/>
    <col min="4867" max="4867" width="9.21875" style="92" customWidth="1"/>
    <col min="4868" max="4868" width="11.21875" style="92" customWidth="1"/>
    <col min="4869" max="4869" width="17.5546875" style="92" customWidth="1"/>
    <col min="4870" max="4870" width="14.21875" style="92" customWidth="1"/>
    <col min="4871" max="4872" width="12.21875" style="92" customWidth="1"/>
    <col min="4873" max="4873" width="11.77734375" style="92" customWidth="1"/>
    <col min="4874" max="4877" width="0" style="92" hidden="1" customWidth="1"/>
    <col min="4878" max="4880" width="9.21875" style="92" customWidth="1"/>
    <col min="4881" max="4883" width="0" style="92" hidden="1" customWidth="1"/>
    <col min="4884" max="4898" width="9.21875" style="92" customWidth="1"/>
    <col min="4899" max="5120" width="8.88671875" style="92"/>
    <col min="5121" max="5121" width="3.77734375" style="92" customWidth="1"/>
    <col min="5122" max="5122" width="26.5546875" style="92" customWidth="1"/>
    <col min="5123" max="5123" width="9.21875" style="92" customWidth="1"/>
    <col min="5124" max="5124" width="11.21875" style="92" customWidth="1"/>
    <col min="5125" max="5125" width="17.5546875" style="92" customWidth="1"/>
    <col min="5126" max="5126" width="14.21875" style="92" customWidth="1"/>
    <col min="5127" max="5128" width="12.21875" style="92" customWidth="1"/>
    <col min="5129" max="5129" width="11.77734375" style="92" customWidth="1"/>
    <col min="5130" max="5133" width="0" style="92" hidden="1" customWidth="1"/>
    <col min="5134" max="5136" width="9.21875" style="92" customWidth="1"/>
    <col min="5137" max="5139" width="0" style="92" hidden="1" customWidth="1"/>
    <col min="5140" max="5154" width="9.21875" style="92" customWidth="1"/>
    <col min="5155" max="5376" width="8.88671875" style="92"/>
    <col min="5377" max="5377" width="3.77734375" style="92" customWidth="1"/>
    <col min="5378" max="5378" width="26.5546875" style="92" customWidth="1"/>
    <col min="5379" max="5379" width="9.21875" style="92" customWidth="1"/>
    <col min="5380" max="5380" width="11.21875" style="92" customWidth="1"/>
    <col min="5381" max="5381" width="17.5546875" style="92" customWidth="1"/>
    <col min="5382" max="5382" width="14.21875" style="92" customWidth="1"/>
    <col min="5383" max="5384" width="12.21875" style="92" customWidth="1"/>
    <col min="5385" max="5385" width="11.77734375" style="92" customWidth="1"/>
    <col min="5386" max="5389" width="0" style="92" hidden="1" customWidth="1"/>
    <col min="5390" max="5392" width="9.21875" style="92" customWidth="1"/>
    <col min="5393" max="5395" width="0" style="92" hidden="1" customWidth="1"/>
    <col min="5396" max="5410" width="9.21875" style="92" customWidth="1"/>
    <col min="5411" max="5632" width="8.88671875" style="92"/>
    <col min="5633" max="5633" width="3.77734375" style="92" customWidth="1"/>
    <col min="5634" max="5634" width="26.5546875" style="92" customWidth="1"/>
    <col min="5635" max="5635" width="9.21875" style="92" customWidth="1"/>
    <col min="5636" max="5636" width="11.21875" style="92" customWidth="1"/>
    <col min="5637" max="5637" width="17.5546875" style="92" customWidth="1"/>
    <col min="5638" max="5638" width="14.21875" style="92" customWidth="1"/>
    <col min="5639" max="5640" width="12.21875" style="92" customWidth="1"/>
    <col min="5641" max="5641" width="11.77734375" style="92" customWidth="1"/>
    <col min="5642" max="5645" width="0" style="92" hidden="1" customWidth="1"/>
    <col min="5646" max="5648" width="9.21875" style="92" customWidth="1"/>
    <col min="5649" max="5651" width="0" style="92" hidden="1" customWidth="1"/>
    <col min="5652" max="5666" width="9.21875" style="92" customWidth="1"/>
    <col min="5667" max="5888" width="8.88671875" style="92"/>
    <col min="5889" max="5889" width="3.77734375" style="92" customWidth="1"/>
    <col min="5890" max="5890" width="26.5546875" style="92" customWidth="1"/>
    <col min="5891" max="5891" width="9.21875" style="92" customWidth="1"/>
    <col min="5892" max="5892" width="11.21875" style="92" customWidth="1"/>
    <col min="5893" max="5893" width="17.5546875" style="92" customWidth="1"/>
    <col min="5894" max="5894" width="14.21875" style="92" customWidth="1"/>
    <col min="5895" max="5896" width="12.21875" style="92" customWidth="1"/>
    <col min="5897" max="5897" width="11.77734375" style="92" customWidth="1"/>
    <col min="5898" max="5901" width="0" style="92" hidden="1" customWidth="1"/>
    <col min="5902" max="5904" width="9.21875" style="92" customWidth="1"/>
    <col min="5905" max="5907" width="0" style="92" hidden="1" customWidth="1"/>
    <col min="5908" max="5922" width="9.21875" style="92" customWidth="1"/>
    <col min="5923" max="6144" width="8.88671875" style="92"/>
    <col min="6145" max="6145" width="3.77734375" style="92" customWidth="1"/>
    <col min="6146" max="6146" width="26.5546875" style="92" customWidth="1"/>
    <col min="6147" max="6147" width="9.21875" style="92" customWidth="1"/>
    <col min="6148" max="6148" width="11.21875" style="92" customWidth="1"/>
    <col min="6149" max="6149" width="17.5546875" style="92" customWidth="1"/>
    <col min="6150" max="6150" width="14.21875" style="92" customWidth="1"/>
    <col min="6151" max="6152" width="12.21875" style="92" customWidth="1"/>
    <col min="6153" max="6153" width="11.77734375" style="92" customWidth="1"/>
    <col min="6154" max="6157" width="0" style="92" hidden="1" customWidth="1"/>
    <col min="6158" max="6160" width="9.21875" style="92" customWidth="1"/>
    <col min="6161" max="6163" width="0" style="92" hidden="1" customWidth="1"/>
    <col min="6164" max="6178" width="9.21875" style="92" customWidth="1"/>
    <col min="6179" max="6400" width="8.88671875" style="92"/>
    <col min="6401" max="6401" width="3.77734375" style="92" customWidth="1"/>
    <col min="6402" max="6402" width="26.5546875" style="92" customWidth="1"/>
    <col min="6403" max="6403" width="9.21875" style="92" customWidth="1"/>
    <col min="6404" max="6404" width="11.21875" style="92" customWidth="1"/>
    <col min="6405" max="6405" width="17.5546875" style="92" customWidth="1"/>
    <col min="6406" max="6406" width="14.21875" style="92" customWidth="1"/>
    <col min="6407" max="6408" width="12.21875" style="92" customWidth="1"/>
    <col min="6409" max="6409" width="11.77734375" style="92" customWidth="1"/>
    <col min="6410" max="6413" width="0" style="92" hidden="1" customWidth="1"/>
    <col min="6414" max="6416" width="9.21875" style="92" customWidth="1"/>
    <col min="6417" max="6419" width="0" style="92" hidden="1" customWidth="1"/>
    <col min="6420" max="6434" width="9.21875" style="92" customWidth="1"/>
    <col min="6435" max="6656" width="8.88671875" style="92"/>
    <col min="6657" max="6657" width="3.77734375" style="92" customWidth="1"/>
    <col min="6658" max="6658" width="26.5546875" style="92" customWidth="1"/>
    <col min="6659" max="6659" width="9.21875" style="92" customWidth="1"/>
    <col min="6660" max="6660" width="11.21875" style="92" customWidth="1"/>
    <col min="6661" max="6661" width="17.5546875" style="92" customWidth="1"/>
    <col min="6662" max="6662" width="14.21875" style="92" customWidth="1"/>
    <col min="6663" max="6664" width="12.21875" style="92" customWidth="1"/>
    <col min="6665" max="6665" width="11.77734375" style="92" customWidth="1"/>
    <col min="6666" max="6669" width="0" style="92" hidden="1" customWidth="1"/>
    <col min="6670" max="6672" width="9.21875" style="92" customWidth="1"/>
    <col min="6673" max="6675" width="0" style="92" hidden="1" customWidth="1"/>
    <col min="6676" max="6690" width="9.21875" style="92" customWidth="1"/>
    <col min="6691" max="6912" width="8.88671875" style="92"/>
    <col min="6913" max="6913" width="3.77734375" style="92" customWidth="1"/>
    <col min="6914" max="6914" width="26.5546875" style="92" customWidth="1"/>
    <col min="6915" max="6915" width="9.21875" style="92" customWidth="1"/>
    <col min="6916" max="6916" width="11.21875" style="92" customWidth="1"/>
    <col min="6917" max="6917" width="17.5546875" style="92" customWidth="1"/>
    <col min="6918" max="6918" width="14.21875" style="92" customWidth="1"/>
    <col min="6919" max="6920" width="12.21875" style="92" customWidth="1"/>
    <col min="6921" max="6921" width="11.77734375" style="92" customWidth="1"/>
    <col min="6922" max="6925" width="0" style="92" hidden="1" customWidth="1"/>
    <col min="6926" max="6928" width="9.21875" style="92" customWidth="1"/>
    <col min="6929" max="6931" width="0" style="92" hidden="1" customWidth="1"/>
    <col min="6932" max="6946" width="9.21875" style="92" customWidth="1"/>
    <col min="6947" max="7168" width="8.88671875" style="92"/>
    <col min="7169" max="7169" width="3.77734375" style="92" customWidth="1"/>
    <col min="7170" max="7170" width="26.5546875" style="92" customWidth="1"/>
    <col min="7171" max="7171" width="9.21875" style="92" customWidth="1"/>
    <col min="7172" max="7172" width="11.21875" style="92" customWidth="1"/>
    <col min="7173" max="7173" width="17.5546875" style="92" customWidth="1"/>
    <col min="7174" max="7174" width="14.21875" style="92" customWidth="1"/>
    <col min="7175" max="7176" width="12.21875" style="92" customWidth="1"/>
    <col min="7177" max="7177" width="11.77734375" style="92" customWidth="1"/>
    <col min="7178" max="7181" width="0" style="92" hidden="1" customWidth="1"/>
    <col min="7182" max="7184" width="9.21875" style="92" customWidth="1"/>
    <col min="7185" max="7187" width="0" style="92" hidden="1" customWidth="1"/>
    <col min="7188" max="7202" width="9.21875" style="92" customWidth="1"/>
    <col min="7203" max="7424" width="8.88671875" style="92"/>
    <col min="7425" max="7425" width="3.77734375" style="92" customWidth="1"/>
    <col min="7426" max="7426" width="26.5546875" style="92" customWidth="1"/>
    <col min="7427" max="7427" width="9.21875" style="92" customWidth="1"/>
    <col min="7428" max="7428" width="11.21875" style="92" customWidth="1"/>
    <col min="7429" max="7429" width="17.5546875" style="92" customWidth="1"/>
    <col min="7430" max="7430" width="14.21875" style="92" customWidth="1"/>
    <col min="7431" max="7432" width="12.21875" style="92" customWidth="1"/>
    <col min="7433" max="7433" width="11.77734375" style="92" customWidth="1"/>
    <col min="7434" max="7437" width="0" style="92" hidden="1" customWidth="1"/>
    <col min="7438" max="7440" width="9.21875" style="92" customWidth="1"/>
    <col min="7441" max="7443" width="0" style="92" hidden="1" customWidth="1"/>
    <col min="7444" max="7458" width="9.21875" style="92" customWidth="1"/>
    <col min="7459" max="7680" width="8.88671875" style="92"/>
    <col min="7681" max="7681" width="3.77734375" style="92" customWidth="1"/>
    <col min="7682" max="7682" width="26.5546875" style="92" customWidth="1"/>
    <col min="7683" max="7683" width="9.21875" style="92" customWidth="1"/>
    <col min="7684" max="7684" width="11.21875" style="92" customWidth="1"/>
    <col min="7685" max="7685" width="17.5546875" style="92" customWidth="1"/>
    <col min="7686" max="7686" width="14.21875" style="92" customWidth="1"/>
    <col min="7687" max="7688" width="12.21875" style="92" customWidth="1"/>
    <col min="7689" max="7689" width="11.77734375" style="92" customWidth="1"/>
    <col min="7690" max="7693" width="0" style="92" hidden="1" customWidth="1"/>
    <col min="7694" max="7696" width="9.21875" style="92" customWidth="1"/>
    <col min="7697" max="7699" width="0" style="92" hidden="1" customWidth="1"/>
    <col min="7700" max="7714" width="9.21875" style="92" customWidth="1"/>
    <col min="7715" max="7936" width="8.88671875" style="92"/>
    <col min="7937" max="7937" width="3.77734375" style="92" customWidth="1"/>
    <col min="7938" max="7938" width="26.5546875" style="92" customWidth="1"/>
    <col min="7939" max="7939" width="9.21875" style="92" customWidth="1"/>
    <col min="7940" max="7940" width="11.21875" style="92" customWidth="1"/>
    <col min="7941" max="7941" width="17.5546875" style="92" customWidth="1"/>
    <col min="7942" max="7942" width="14.21875" style="92" customWidth="1"/>
    <col min="7943" max="7944" width="12.21875" style="92" customWidth="1"/>
    <col min="7945" max="7945" width="11.77734375" style="92" customWidth="1"/>
    <col min="7946" max="7949" width="0" style="92" hidden="1" customWidth="1"/>
    <col min="7950" max="7952" width="9.21875" style="92" customWidth="1"/>
    <col min="7953" max="7955" width="0" style="92" hidden="1" customWidth="1"/>
    <col min="7956" max="7970" width="9.21875" style="92" customWidth="1"/>
    <col min="7971" max="8192" width="8.88671875" style="92"/>
    <col min="8193" max="8193" width="3.77734375" style="92" customWidth="1"/>
    <col min="8194" max="8194" width="26.5546875" style="92" customWidth="1"/>
    <col min="8195" max="8195" width="9.21875" style="92" customWidth="1"/>
    <col min="8196" max="8196" width="11.21875" style="92" customWidth="1"/>
    <col min="8197" max="8197" width="17.5546875" style="92" customWidth="1"/>
    <col min="8198" max="8198" width="14.21875" style="92" customWidth="1"/>
    <col min="8199" max="8200" width="12.21875" style="92" customWidth="1"/>
    <col min="8201" max="8201" width="11.77734375" style="92" customWidth="1"/>
    <col min="8202" max="8205" width="0" style="92" hidden="1" customWidth="1"/>
    <col min="8206" max="8208" width="9.21875" style="92" customWidth="1"/>
    <col min="8209" max="8211" width="0" style="92" hidden="1" customWidth="1"/>
    <col min="8212" max="8226" width="9.21875" style="92" customWidth="1"/>
    <col min="8227" max="8448" width="8.88671875" style="92"/>
    <col min="8449" max="8449" width="3.77734375" style="92" customWidth="1"/>
    <col min="8450" max="8450" width="26.5546875" style="92" customWidth="1"/>
    <col min="8451" max="8451" width="9.21875" style="92" customWidth="1"/>
    <col min="8452" max="8452" width="11.21875" style="92" customWidth="1"/>
    <col min="8453" max="8453" width="17.5546875" style="92" customWidth="1"/>
    <col min="8454" max="8454" width="14.21875" style="92" customWidth="1"/>
    <col min="8455" max="8456" width="12.21875" style="92" customWidth="1"/>
    <col min="8457" max="8457" width="11.77734375" style="92" customWidth="1"/>
    <col min="8458" max="8461" width="0" style="92" hidden="1" customWidth="1"/>
    <col min="8462" max="8464" width="9.21875" style="92" customWidth="1"/>
    <col min="8465" max="8467" width="0" style="92" hidden="1" customWidth="1"/>
    <col min="8468" max="8482" width="9.21875" style="92" customWidth="1"/>
    <col min="8483" max="8704" width="8.88671875" style="92"/>
    <col min="8705" max="8705" width="3.77734375" style="92" customWidth="1"/>
    <col min="8706" max="8706" width="26.5546875" style="92" customWidth="1"/>
    <col min="8707" max="8707" width="9.21875" style="92" customWidth="1"/>
    <col min="8708" max="8708" width="11.21875" style="92" customWidth="1"/>
    <col min="8709" max="8709" width="17.5546875" style="92" customWidth="1"/>
    <col min="8710" max="8710" width="14.21875" style="92" customWidth="1"/>
    <col min="8711" max="8712" width="12.21875" style="92" customWidth="1"/>
    <col min="8713" max="8713" width="11.77734375" style="92" customWidth="1"/>
    <col min="8714" max="8717" width="0" style="92" hidden="1" customWidth="1"/>
    <col min="8718" max="8720" width="9.21875" style="92" customWidth="1"/>
    <col min="8721" max="8723" width="0" style="92" hidden="1" customWidth="1"/>
    <col min="8724" max="8738" width="9.21875" style="92" customWidth="1"/>
    <col min="8739" max="8960" width="8.88671875" style="92"/>
    <col min="8961" max="8961" width="3.77734375" style="92" customWidth="1"/>
    <col min="8962" max="8962" width="26.5546875" style="92" customWidth="1"/>
    <col min="8963" max="8963" width="9.21875" style="92" customWidth="1"/>
    <col min="8964" max="8964" width="11.21875" style="92" customWidth="1"/>
    <col min="8965" max="8965" width="17.5546875" style="92" customWidth="1"/>
    <col min="8966" max="8966" width="14.21875" style="92" customWidth="1"/>
    <col min="8967" max="8968" width="12.21875" style="92" customWidth="1"/>
    <col min="8969" max="8969" width="11.77734375" style="92" customWidth="1"/>
    <col min="8970" max="8973" width="0" style="92" hidden="1" customWidth="1"/>
    <col min="8974" max="8976" width="9.21875" style="92" customWidth="1"/>
    <col min="8977" max="8979" width="0" style="92" hidden="1" customWidth="1"/>
    <col min="8980" max="8994" width="9.21875" style="92" customWidth="1"/>
    <col min="8995" max="9216" width="8.88671875" style="92"/>
    <col min="9217" max="9217" width="3.77734375" style="92" customWidth="1"/>
    <col min="9218" max="9218" width="26.5546875" style="92" customWidth="1"/>
    <col min="9219" max="9219" width="9.21875" style="92" customWidth="1"/>
    <col min="9220" max="9220" width="11.21875" style="92" customWidth="1"/>
    <col min="9221" max="9221" width="17.5546875" style="92" customWidth="1"/>
    <col min="9222" max="9222" width="14.21875" style="92" customWidth="1"/>
    <col min="9223" max="9224" width="12.21875" style="92" customWidth="1"/>
    <col min="9225" max="9225" width="11.77734375" style="92" customWidth="1"/>
    <col min="9226" max="9229" width="0" style="92" hidden="1" customWidth="1"/>
    <col min="9230" max="9232" width="9.21875" style="92" customWidth="1"/>
    <col min="9233" max="9235" width="0" style="92" hidden="1" customWidth="1"/>
    <col min="9236" max="9250" width="9.21875" style="92" customWidth="1"/>
    <col min="9251" max="9472" width="8.88671875" style="92"/>
    <col min="9473" max="9473" width="3.77734375" style="92" customWidth="1"/>
    <col min="9474" max="9474" width="26.5546875" style="92" customWidth="1"/>
    <col min="9475" max="9475" width="9.21875" style="92" customWidth="1"/>
    <col min="9476" max="9476" width="11.21875" style="92" customWidth="1"/>
    <col min="9477" max="9477" width="17.5546875" style="92" customWidth="1"/>
    <col min="9478" max="9478" width="14.21875" style="92" customWidth="1"/>
    <col min="9479" max="9480" width="12.21875" style="92" customWidth="1"/>
    <col min="9481" max="9481" width="11.77734375" style="92" customWidth="1"/>
    <col min="9482" max="9485" width="0" style="92" hidden="1" customWidth="1"/>
    <col min="9486" max="9488" width="9.21875" style="92" customWidth="1"/>
    <col min="9489" max="9491" width="0" style="92" hidden="1" customWidth="1"/>
    <col min="9492" max="9506" width="9.21875" style="92" customWidth="1"/>
    <col min="9507" max="9728" width="8.88671875" style="92"/>
    <col min="9729" max="9729" width="3.77734375" style="92" customWidth="1"/>
    <col min="9730" max="9730" width="26.5546875" style="92" customWidth="1"/>
    <col min="9731" max="9731" width="9.21875" style="92" customWidth="1"/>
    <col min="9732" max="9732" width="11.21875" style="92" customWidth="1"/>
    <col min="9733" max="9733" width="17.5546875" style="92" customWidth="1"/>
    <col min="9734" max="9734" width="14.21875" style="92" customWidth="1"/>
    <col min="9735" max="9736" width="12.21875" style="92" customWidth="1"/>
    <col min="9737" max="9737" width="11.77734375" style="92" customWidth="1"/>
    <col min="9738" max="9741" width="0" style="92" hidden="1" customWidth="1"/>
    <col min="9742" max="9744" width="9.21875" style="92" customWidth="1"/>
    <col min="9745" max="9747" width="0" style="92" hidden="1" customWidth="1"/>
    <col min="9748" max="9762" width="9.21875" style="92" customWidth="1"/>
    <col min="9763" max="9984" width="8.88671875" style="92"/>
    <col min="9985" max="9985" width="3.77734375" style="92" customWidth="1"/>
    <col min="9986" max="9986" width="26.5546875" style="92" customWidth="1"/>
    <col min="9987" max="9987" width="9.21875" style="92" customWidth="1"/>
    <col min="9988" max="9988" width="11.21875" style="92" customWidth="1"/>
    <col min="9989" max="9989" width="17.5546875" style="92" customWidth="1"/>
    <col min="9990" max="9990" width="14.21875" style="92" customWidth="1"/>
    <col min="9991" max="9992" width="12.21875" style="92" customWidth="1"/>
    <col min="9993" max="9993" width="11.77734375" style="92" customWidth="1"/>
    <col min="9994" max="9997" width="0" style="92" hidden="1" customWidth="1"/>
    <col min="9998" max="10000" width="9.21875" style="92" customWidth="1"/>
    <col min="10001" max="10003" width="0" style="92" hidden="1" customWidth="1"/>
    <col min="10004" max="10018" width="9.21875" style="92" customWidth="1"/>
    <col min="10019" max="10240" width="8.88671875" style="92"/>
    <col min="10241" max="10241" width="3.77734375" style="92" customWidth="1"/>
    <col min="10242" max="10242" width="26.5546875" style="92" customWidth="1"/>
    <col min="10243" max="10243" width="9.21875" style="92" customWidth="1"/>
    <col min="10244" max="10244" width="11.21875" style="92" customWidth="1"/>
    <col min="10245" max="10245" width="17.5546875" style="92" customWidth="1"/>
    <col min="10246" max="10246" width="14.21875" style="92" customWidth="1"/>
    <col min="10247" max="10248" width="12.21875" style="92" customWidth="1"/>
    <col min="10249" max="10249" width="11.77734375" style="92" customWidth="1"/>
    <col min="10250" max="10253" width="0" style="92" hidden="1" customWidth="1"/>
    <col min="10254" max="10256" width="9.21875" style="92" customWidth="1"/>
    <col min="10257" max="10259" width="0" style="92" hidden="1" customWidth="1"/>
    <col min="10260" max="10274" width="9.21875" style="92" customWidth="1"/>
    <col min="10275" max="10496" width="8.88671875" style="92"/>
    <col min="10497" max="10497" width="3.77734375" style="92" customWidth="1"/>
    <col min="10498" max="10498" width="26.5546875" style="92" customWidth="1"/>
    <col min="10499" max="10499" width="9.21875" style="92" customWidth="1"/>
    <col min="10500" max="10500" width="11.21875" style="92" customWidth="1"/>
    <col min="10501" max="10501" width="17.5546875" style="92" customWidth="1"/>
    <col min="10502" max="10502" width="14.21875" style="92" customWidth="1"/>
    <col min="10503" max="10504" width="12.21875" style="92" customWidth="1"/>
    <col min="10505" max="10505" width="11.77734375" style="92" customWidth="1"/>
    <col min="10506" max="10509" width="0" style="92" hidden="1" customWidth="1"/>
    <col min="10510" max="10512" width="9.21875" style="92" customWidth="1"/>
    <col min="10513" max="10515" width="0" style="92" hidden="1" customWidth="1"/>
    <col min="10516" max="10530" width="9.21875" style="92" customWidth="1"/>
    <col min="10531" max="10752" width="8.88671875" style="92"/>
    <col min="10753" max="10753" width="3.77734375" style="92" customWidth="1"/>
    <col min="10754" max="10754" width="26.5546875" style="92" customWidth="1"/>
    <col min="10755" max="10755" width="9.21875" style="92" customWidth="1"/>
    <col min="10756" max="10756" width="11.21875" style="92" customWidth="1"/>
    <col min="10757" max="10757" width="17.5546875" style="92" customWidth="1"/>
    <col min="10758" max="10758" width="14.21875" style="92" customWidth="1"/>
    <col min="10759" max="10760" width="12.21875" style="92" customWidth="1"/>
    <col min="10761" max="10761" width="11.77734375" style="92" customWidth="1"/>
    <col min="10762" max="10765" width="0" style="92" hidden="1" customWidth="1"/>
    <col min="10766" max="10768" width="9.21875" style="92" customWidth="1"/>
    <col min="10769" max="10771" width="0" style="92" hidden="1" customWidth="1"/>
    <col min="10772" max="10786" width="9.21875" style="92" customWidth="1"/>
    <col min="10787" max="11008" width="8.88671875" style="92"/>
    <col min="11009" max="11009" width="3.77734375" style="92" customWidth="1"/>
    <col min="11010" max="11010" width="26.5546875" style="92" customWidth="1"/>
    <col min="11011" max="11011" width="9.21875" style="92" customWidth="1"/>
    <col min="11012" max="11012" width="11.21875" style="92" customWidth="1"/>
    <col min="11013" max="11013" width="17.5546875" style="92" customWidth="1"/>
    <col min="11014" max="11014" width="14.21875" style="92" customWidth="1"/>
    <col min="11015" max="11016" width="12.21875" style="92" customWidth="1"/>
    <col min="11017" max="11017" width="11.77734375" style="92" customWidth="1"/>
    <col min="11018" max="11021" width="0" style="92" hidden="1" customWidth="1"/>
    <col min="11022" max="11024" width="9.21875" style="92" customWidth="1"/>
    <col min="11025" max="11027" width="0" style="92" hidden="1" customWidth="1"/>
    <col min="11028" max="11042" width="9.21875" style="92" customWidth="1"/>
    <col min="11043" max="11264" width="8.88671875" style="92"/>
    <col min="11265" max="11265" width="3.77734375" style="92" customWidth="1"/>
    <col min="11266" max="11266" width="26.5546875" style="92" customWidth="1"/>
    <col min="11267" max="11267" width="9.21875" style="92" customWidth="1"/>
    <col min="11268" max="11268" width="11.21875" style="92" customWidth="1"/>
    <col min="11269" max="11269" width="17.5546875" style="92" customWidth="1"/>
    <col min="11270" max="11270" width="14.21875" style="92" customWidth="1"/>
    <col min="11271" max="11272" width="12.21875" style="92" customWidth="1"/>
    <col min="11273" max="11273" width="11.77734375" style="92" customWidth="1"/>
    <col min="11274" max="11277" width="0" style="92" hidden="1" customWidth="1"/>
    <col min="11278" max="11280" width="9.21875" style="92" customWidth="1"/>
    <col min="11281" max="11283" width="0" style="92" hidden="1" customWidth="1"/>
    <col min="11284" max="11298" width="9.21875" style="92" customWidth="1"/>
    <col min="11299" max="11520" width="8.88671875" style="92"/>
    <col min="11521" max="11521" width="3.77734375" style="92" customWidth="1"/>
    <col min="11522" max="11522" width="26.5546875" style="92" customWidth="1"/>
    <col min="11523" max="11523" width="9.21875" style="92" customWidth="1"/>
    <col min="11524" max="11524" width="11.21875" style="92" customWidth="1"/>
    <col min="11525" max="11525" width="17.5546875" style="92" customWidth="1"/>
    <col min="11526" max="11526" width="14.21875" style="92" customWidth="1"/>
    <col min="11527" max="11528" width="12.21875" style="92" customWidth="1"/>
    <col min="11529" max="11529" width="11.77734375" style="92" customWidth="1"/>
    <col min="11530" max="11533" width="0" style="92" hidden="1" customWidth="1"/>
    <col min="11534" max="11536" width="9.21875" style="92" customWidth="1"/>
    <col min="11537" max="11539" width="0" style="92" hidden="1" customWidth="1"/>
    <col min="11540" max="11554" width="9.21875" style="92" customWidth="1"/>
    <col min="11555" max="11776" width="8.88671875" style="92"/>
    <col min="11777" max="11777" width="3.77734375" style="92" customWidth="1"/>
    <col min="11778" max="11778" width="26.5546875" style="92" customWidth="1"/>
    <col min="11779" max="11779" width="9.21875" style="92" customWidth="1"/>
    <col min="11780" max="11780" width="11.21875" style="92" customWidth="1"/>
    <col min="11781" max="11781" width="17.5546875" style="92" customWidth="1"/>
    <col min="11782" max="11782" width="14.21875" style="92" customWidth="1"/>
    <col min="11783" max="11784" width="12.21875" style="92" customWidth="1"/>
    <col min="11785" max="11785" width="11.77734375" style="92" customWidth="1"/>
    <col min="11786" max="11789" width="0" style="92" hidden="1" customWidth="1"/>
    <col min="11790" max="11792" width="9.21875" style="92" customWidth="1"/>
    <col min="11793" max="11795" width="0" style="92" hidden="1" customWidth="1"/>
    <col min="11796" max="11810" width="9.21875" style="92" customWidth="1"/>
    <col min="11811" max="12032" width="8.88671875" style="92"/>
    <col min="12033" max="12033" width="3.77734375" style="92" customWidth="1"/>
    <col min="12034" max="12034" width="26.5546875" style="92" customWidth="1"/>
    <col min="12035" max="12035" width="9.21875" style="92" customWidth="1"/>
    <col min="12036" max="12036" width="11.21875" style="92" customWidth="1"/>
    <col min="12037" max="12037" width="17.5546875" style="92" customWidth="1"/>
    <col min="12038" max="12038" width="14.21875" style="92" customWidth="1"/>
    <col min="12039" max="12040" width="12.21875" style="92" customWidth="1"/>
    <col min="12041" max="12041" width="11.77734375" style="92" customWidth="1"/>
    <col min="12042" max="12045" width="0" style="92" hidden="1" customWidth="1"/>
    <col min="12046" max="12048" width="9.21875" style="92" customWidth="1"/>
    <col min="12049" max="12051" width="0" style="92" hidden="1" customWidth="1"/>
    <col min="12052" max="12066" width="9.21875" style="92" customWidth="1"/>
    <col min="12067" max="12288" width="8.88671875" style="92"/>
    <col min="12289" max="12289" width="3.77734375" style="92" customWidth="1"/>
    <col min="12290" max="12290" width="26.5546875" style="92" customWidth="1"/>
    <col min="12291" max="12291" width="9.21875" style="92" customWidth="1"/>
    <col min="12292" max="12292" width="11.21875" style="92" customWidth="1"/>
    <col min="12293" max="12293" width="17.5546875" style="92" customWidth="1"/>
    <col min="12294" max="12294" width="14.21875" style="92" customWidth="1"/>
    <col min="12295" max="12296" width="12.21875" style="92" customWidth="1"/>
    <col min="12297" max="12297" width="11.77734375" style="92" customWidth="1"/>
    <col min="12298" max="12301" width="0" style="92" hidden="1" customWidth="1"/>
    <col min="12302" max="12304" width="9.21875" style="92" customWidth="1"/>
    <col min="12305" max="12307" width="0" style="92" hidden="1" customWidth="1"/>
    <col min="12308" max="12322" width="9.21875" style="92" customWidth="1"/>
    <col min="12323" max="12544" width="8.88671875" style="92"/>
    <col min="12545" max="12545" width="3.77734375" style="92" customWidth="1"/>
    <col min="12546" max="12546" width="26.5546875" style="92" customWidth="1"/>
    <col min="12547" max="12547" width="9.21875" style="92" customWidth="1"/>
    <col min="12548" max="12548" width="11.21875" style="92" customWidth="1"/>
    <col min="12549" max="12549" width="17.5546875" style="92" customWidth="1"/>
    <col min="12550" max="12550" width="14.21875" style="92" customWidth="1"/>
    <col min="12551" max="12552" width="12.21875" style="92" customWidth="1"/>
    <col min="12553" max="12553" width="11.77734375" style="92" customWidth="1"/>
    <col min="12554" max="12557" width="0" style="92" hidden="1" customWidth="1"/>
    <col min="12558" max="12560" width="9.21875" style="92" customWidth="1"/>
    <col min="12561" max="12563" width="0" style="92" hidden="1" customWidth="1"/>
    <col min="12564" max="12578" width="9.21875" style="92" customWidth="1"/>
    <col min="12579" max="12800" width="8.88671875" style="92"/>
    <col min="12801" max="12801" width="3.77734375" style="92" customWidth="1"/>
    <col min="12802" max="12802" width="26.5546875" style="92" customWidth="1"/>
    <col min="12803" max="12803" width="9.21875" style="92" customWidth="1"/>
    <col min="12804" max="12804" width="11.21875" style="92" customWidth="1"/>
    <col min="12805" max="12805" width="17.5546875" style="92" customWidth="1"/>
    <col min="12806" max="12806" width="14.21875" style="92" customWidth="1"/>
    <col min="12807" max="12808" width="12.21875" style="92" customWidth="1"/>
    <col min="12809" max="12809" width="11.77734375" style="92" customWidth="1"/>
    <col min="12810" max="12813" width="0" style="92" hidden="1" customWidth="1"/>
    <col min="12814" max="12816" width="9.21875" style="92" customWidth="1"/>
    <col min="12817" max="12819" width="0" style="92" hidden="1" customWidth="1"/>
    <col min="12820" max="12834" width="9.21875" style="92" customWidth="1"/>
    <col min="12835" max="13056" width="8.88671875" style="92"/>
    <col min="13057" max="13057" width="3.77734375" style="92" customWidth="1"/>
    <col min="13058" max="13058" width="26.5546875" style="92" customWidth="1"/>
    <col min="13059" max="13059" width="9.21875" style="92" customWidth="1"/>
    <col min="13060" max="13060" width="11.21875" style="92" customWidth="1"/>
    <col min="13061" max="13061" width="17.5546875" style="92" customWidth="1"/>
    <col min="13062" max="13062" width="14.21875" style="92" customWidth="1"/>
    <col min="13063" max="13064" width="12.21875" style="92" customWidth="1"/>
    <col min="13065" max="13065" width="11.77734375" style="92" customWidth="1"/>
    <col min="13066" max="13069" width="0" style="92" hidden="1" customWidth="1"/>
    <col min="13070" max="13072" width="9.21875" style="92" customWidth="1"/>
    <col min="13073" max="13075" width="0" style="92" hidden="1" customWidth="1"/>
    <col min="13076" max="13090" width="9.21875" style="92" customWidth="1"/>
    <col min="13091" max="13312" width="8.88671875" style="92"/>
    <col min="13313" max="13313" width="3.77734375" style="92" customWidth="1"/>
    <col min="13314" max="13314" width="26.5546875" style="92" customWidth="1"/>
    <col min="13315" max="13315" width="9.21875" style="92" customWidth="1"/>
    <col min="13316" max="13316" width="11.21875" style="92" customWidth="1"/>
    <col min="13317" max="13317" width="17.5546875" style="92" customWidth="1"/>
    <col min="13318" max="13318" width="14.21875" style="92" customWidth="1"/>
    <col min="13319" max="13320" width="12.21875" style="92" customWidth="1"/>
    <col min="13321" max="13321" width="11.77734375" style="92" customWidth="1"/>
    <col min="13322" max="13325" width="0" style="92" hidden="1" customWidth="1"/>
    <col min="13326" max="13328" width="9.21875" style="92" customWidth="1"/>
    <col min="13329" max="13331" width="0" style="92" hidden="1" customWidth="1"/>
    <col min="13332" max="13346" width="9.21875" style="92" customWidth="1"/>
    <col min="13347" max="13568" width="8.88671875" style="92"/>
    <col min="13569" max="13569" width="3.77734375" style="92" customWidth="1"/>
    <col min="13570" max="13570" width="26.5546875" style="92" customWidth="1"/>
    <col min="13571" max="13571" width="9.21875" style="92" customWidth="1"/>
    <col min="13572" max="13572" width="11.21875" style="92" customWidth="1"/>
    <col min="13573" max="13573" width="17.5546875" style="92" customWidth="1"/>
    <col min="13574" max="13574" width="14.21875" style="92" customWidth="1"/>
    <col min="13575" max="13576" width="12.21875" style="92" customWidth="1"/>
    <col min="13577" max="13577" width="11.77734375" style="92" customWidth="1"/>
    <col min="13578" max="13581" width="0" style="92" hidden="1" customWidth="1"/>
    <col min="13582" max="13584" width="9.21875" style="92" customWidth="1"/>
    <col min="13585" max="13587" width="0" style="92" hidden="1" customWidth="1"/>
    <col min="13588" max="13602" width="9.21875" style="92" customWidth="1"/>
    <col min="13603" max="13824" width="8.88671875" style="92"/>
    <col min="13825" max="13825" width="3.77734375" style="92" customWidth="1"/>
    <col min="13826" max="13826" width="26.5546875" style="92" customWidth="1"/>
    <col min="13827" max="13827" width="9.21875" style="92" customWidth="1"/>
    <col min="13828" max="13828" width="11.21875" style="92" customWidth="1"/>
    <col min="13829" max="13829" width="17.5546875" style="92" customWidth="1"/>
    <col min="13830" max="13830" width="14.21875" style="92" customWidth="1"/>
    <col min="13831" max="13832" width="12.21875" style="92" customWidth="1"/>
    <col min="13833" max="13833" width="11.77734375" style="92" customWidth="1"/>
    <col min="13834" max="13837" width="0" style="92" hidden="1" customWidth="1"/>
    <col min="13838" max="13840" width="9.21875" style="92" customWidth="1"/>
    <col min="13841" max="13843" width="0" style="92" hidden="1" customWidth="1"/>
    <col min="13844" max="13858" width="9.21875" style="92" customWidth="1"/>
    <col min="13859" max="14080" width="8.88671875" style="92"/>
    <col min="14081" max="14081" width="3.77734375" style="92" customWidth="1"/>
    <col min="14082" max="14082" width="26.5546875" style="92" customWidth="1"/>
    <col min="14083" max="14083" width="9.21875" style="92" customWidth="1"/>
    <col min="14084" max="14084" width="11.21875" style="92" customWidth="1"/>
    <col min="14085" max="14085" width="17.5546875" style="92" customWidth="1"/>
    <col min="14086" max="14086" width="14.21875" style="92" customWidth="1"/>
    <col min="14087" max="14088" width="12.21875" style="92" customWidth="1"/>
    <col min="14089" max="14089" width="11.77734375" style="92" customWidth="1"/>
    <col min="14090" max="14093" width="0" style="92" hidden="1" customWidth="1"/>
    <col min="14094" max="14096" width="9.21875" style="92" customWidth="1"/>
    <col min="14097" max="14099" width="0" style="92" hidden="1" customWidth="1"/>
    <col min="14100" max="14114" width="9.21875" style="92" customWidth="1"/>
    <col min="14115" max="14336" width="8.88671875" style="92"/>
    <col min="14337" max="14337" width="3.77734375" style="92" customWidth="1"/>
    <col min="14338" max="14338" width="26.5546875" style="92" customWidth="1"/>
    <col min="14339" max="14339" width="9.21875" style="92" customWidth="1"/>
    <col min="14340" max="14340" width="11.21875" style="92" customWidth="1"/>
    <col min="14341" max="14341" width="17.5546875" style="92" customWidth="1"/>
    <col min="14342" max="14342" width="14.21875" style="92" customWidth="1"/>
    <col min="14343" max="14344" width="12.21875" style="92" customWidth="1"/>
    <col min="14345" max="14345" width="11.77734375" style="92" customWidth="1"/>
    <col min="14346" max="14349" width="0" style="92" hidden="1" customWidth="1"/>
    <col min="14350" max="14352" width="9.21875" style="92" customWidth="1"/>
    <col min="14353" max="14355" width="0" style="92" hidden="1" customWidth="1"/>
    <col min="14356" max="14370" width="9.21875" style="92" customWidth="1"/>
    <col min="14371" max="14592" width="8.88671875" style="92"/>
    <col min="14593" max="14593" width="3.77734375" style="92" customWidth="1"/>
    <col min="14594" max="14594" width="26.5546875" style="92" customWidth="1"/>
    <col min="14595" max="14595" width="9.21875" style="92" customWidth="1"/>
    <col min="14596" max="14596" width="11.21875" style="92" customWidth="1"/>
    <col min="14597" max="14597" width="17.5546875" style="92" customWidth="1"/>
    <col min="14598" max="14598" width="14.21875" style="92" customWidth="1"/>
    <col min="14599" max="14600" width="12.21875" style="92" customWidth="1"/>
    <col min="14601" max="14601" width="11.77734375" style="92" customWidth="1"/>
    <col min="14602" max="14605" width="0" style="92" hidden="1" customWidth="1"/>
    <col min="14606" max="14608" width="9.21875" style="92" customWidth="1"/>
    <col min="14609" max="14611" width="0" style="92" hidden="1" customWidth="1"/>
    <col min="14612" max="14626" width="9.21875" style="92" customWidth="1"/>
    <col min="14627" max="14848" width="8.88671875" style="92"/>
    <col min="14849" max="14849" width="3.77734375" style="92" customWidth="1"/>
    <col min="14850" max="14850" width="26.5546875" style="92" customWidth="1"/>
    <col min="14851" max="14851" width="9.21875" style="92" customWidth="1"/>
    <col min="14852" max="14852" width="11.21875" style="92" customWidth="1"/>
    <col min="14853" max="14853" width="17.5546875" style="92" customWidth="1"/>
    <col min="14854" max="14854" width="14.21875" style="92" customWidth="1"/>
    <col min="14855" max="14856" width="12.21875" style="92" customWidth="1"/>
    <col min="14857" max="14857" width="11.77734375" style="92" customWidth="1"/>
    <col min="14858" max="14861" width="0" style="92" hidden="1" customWidth="1"/>
    <col min="14862" max="14864" width="9.21875" style="92" customWidth="1"/>
    <col min="14865" max="14867" width="0" style="92" hidden="1" customWidth="1"/>
    <col min="14868" max="14882" width="9.21875" style="92" customWidth="1"/>
    <col min="14883" max="15104" width="8.88671875" style="92"/>
    <col min="15105" max="15105" width="3.77734375" style="92" customWidth="1"/>
    <col min="15106" max="15106" width="26.5546875" style="92" customWidth="1"/>
    <col min="15107" max="15107" width="9.21875" style="92" customWidth="1"/>
    <col min="15108" max="15108" width="11.21875" style="92" customWidth="1"/>
    <col min="15109" max="15109" width="17.5546875" style="92" customWidth="1"/>
    <col min="15110" max="15110" width="14.21875" style="92" customWidth="1"/>
    <col min="15111" max="15112" width="12.21875" style="92" customWidth="1"/>
    <col min="15113" max="15113" width="11.77734375" style="92" customWidth="1"/>
    <col min="15114" max="15117" width="0" style="92" hidden="1" customWidth="1"/>
    <col min="15118" max="15120" width="9.21875" style="92" customWidth="1"/>
    <col min="15121" max="15123" width="0" style="92" hidden="1" customWidth="1"/>
    <col min="15124" max="15138" width="9.21875" style="92" customWidth="1"/>
    <col min="15139" max="15360" width="8.88671875" style="92"/>
    <col min="15361" max="15361" width="3.77734375" style="92" customWidth="1"/>
    <col min="15362" max="15362" width="26.5546875" style="92" customWidth="1"/>
    <col min="15363" max="15363" width="9.21875" style="92" customWidth="1"/>
    <col min="15364" max="15364" width="11.21875" style="92" customWidth="1"/>
    <col min="15365" max="15365" width="17.5546875" style="92" customWidth="1"/>
    <col min="15366" max="15366" width="14.21875" style="92" customWidth="1"/>
    <col min="15367" max="15368" width="12.21875" style="92" customWidth="1"/>
    <col min="15369" max="15369" width="11.77734375" style="92" customWidth="1"/>
    <col min="15370" max="15373" width="0" style="92" hidden="1" customWidth="1"/>
    <col min="15374" max="15376" width="9.21875" style="92" customWidth="1"/>
    <col min="15377" max="15379" width="0" style="92" hidden="1" customWidth="1"/>
    <col min="15380" max="15394" width="9.21875" style="92" customWidth="1"/>
    <col min="15395" max="15616" width="8.88671875" style="92"/>
    <col min="15617" max="15617" width="3.77734375" style="92" customWidth="1"/>
    <col min="15618" max="15618" width="26.5546875" style="92" customWidth="1"/>
    <col min="15619" max="15619" width="9.21875" style="92" customWidth="1"/>
    <col min="15620" max="15620" width="11.21875" style="92" customWidth="1"/>
    <col min="15621" max="15621" width="17.5546875" style="92" customWidth="1"/>
    <col min="15622" max="15622" width="14.21875" style="92" customWidth="1"/>
    <col min="15623" max="15624" width="12.21875" style="92" customWidth="1"/>
    <col min="15625" max="15625" width="11.77734375" style="92" customWidth="1"/>
    <col min="15626" max="15629" width="0" style="92" hidden="1" customWidth="1"/>
    <col min="15630" max="15632" width="9.21875" style="92" customWidth="1"/>
    <col min="15633" max="15635" width="0" style="92" hidden="1" customWidth="1"/>
    <col min="15636" max="15650" width="9.21875" style="92" customWidth="1"/>
    <col min="15651" max="15872" width="8.88671875" style="92"/>
    <col min="15873" max="15873" width="3.77734375" style="92" customWidth="1"/>
    <col min="15874" max="15874" width="26.5546875" style="92" customWidth="1"/>
    <col min="15875" max="15875" width="9.21875" style="92" customWidth="1"/>
    <col min="15876" max="15876" width="11.21875" style="92" customWidth="1"/>
    <col min="15877" max="15877" width="17.5546875" style="92" customWidth="1"/>
    <col min="15878" max="15878" width="14.21875" style="92" customWidth="1"/>
    <col min="15879" max="15880" width="12.21875" style="92" customWidth="1"/>
    <col min="15881" max="15881" width="11.77734375" style="92" customWidth="1"/>
    <col min="15882" max="15885" width="0" style="92" hidden="1" customWidth="1"/>
    <col min="15886" max="15888" width="9.21875" style="92" customWidth="1"/>
    <col min="15889" max="15891" width="0" style="92" hidden="1" customWidth="1"/>
    <col min="15892" max="15906" width="9.21875" style="92" customWidth="1"/>
    <col min="15907" max="16128" width="8.88671875" style="92"/>
    <col min="16129" max="16129" width="3.77734375" style="92" customWidth="1"/>
    <col min="16130" max="16130" width="26.5546875" style="92" customWidth="1"/>
    <col min="16131" max="16131" width="9.21875" style="92" customWidth="1"/>
    <col min="16132" max="16132" width="11.21875" style="92" customWidth="1"/>
    <col min="16133" max="16133" width="17.5546875" style="92" customWidth="1"/>
    <col min="16134" max="16134" width="14.21875" style="92" customWidth="1"/>
    <col min="16135" max="16136" width="12.21875" style="92" customWidth="1"/>
    <col min="16137" max="16137" width="11.77734375" style="92" customWidth="1"/>
    <col min="16138" max="16141" width="0" style="92" hidden="1" customWidth="1"/>
    <col min="16142" max="16144" width="9.21875" style="92" customWidth="1"/>
    <col min="16145" max="16147" width="0" style="92" hidden="1" customWidth="1"/>
    <col min="16148" max="16162" width="9.21875" style="92" customWidth="1"/>
    <col min="16163" max="16384" width="8.88671875" style="92"/>
  </cols>
  <sheetData>
    <row r="1" spans="1:20" ht="23.55" customHeight="1" x14ac:dyDescent="0.35">
      <c r="C1" s="89"/>
      <c r="D1" s="89"/>
      <c r="E1" s="90"/>
      <c r="F1" s="76"/>
      <c r="G1" s="178"/>
      <c r="H1" s="76" t="s">
        <v>125</v>
      </c>
      <c r="I1" s="91"/>
      <c r="R1" s="93" t="s">
        <v>126</v>
      </c>
      <c r="S1" s="94"/>
      <c r="T1" s="94"/>
    </row>
    <row r="2" spans="1:20" ht="18" x14ac:dyDescent="0.35">
      <c r="B2" s="95"/>
      <c r="C2" s="96"/>
      <c r="D2" s="96"/>
      <c r="F2" s="77"/>
      <c r="G2" s="77"/>
      <c r="H2" s="77" t="s">
        <v>1</v>
      </c>
      <c r="I2" s="98"/>
      <c r="R2" s="93" t="s">
        <v>127</v>
      </c>
      <c r="S2" s="94"/>
      <c r="T2" s="94"/>
    </row>
    <row r="3" spans="1:20" ht="18" x14ac:dyDescent="0.35">
      <c r="B3" s="76"/>
      <c r="C3" s="76"/>
      <c r="D3" s="76"/>
      <c r="E3" s="76"/>
      <c r="F3" s="76"/>
      <c r="G3" s="178"/>
      <c r="H3" s="76" t="s">
        <v>2</v>
      </c>
      <c r="I3" s="98"/>
      <c r="R3" s="93" t="s">
        <v>128</v>
      </c>
      <c r="S3" s="94"/>
      <c r="T3" s="94"/>
    </row>
    <row r="4" spans="1:20" ht="18" x14ac:dyDescent="0.35">
      <c r="A4" s="99"/>
      <c r="B4" s="99"/>
      <c r="C4" s="100"/>
      <c r="D4" s="100" t="s">
        <v>129</v>
      </c>
      <c r="E4" s="101"/>
      <c r="F4" s="99"/>
      <c r="G4" s="78"/>
      <c r="H4" s="78" t="s">
        <v>130</v>
      </c>
      <c r="I4" s="98"/>
      <c r="R4" s="93" t="s">
        <v>131</v>
      </c>
      <c r="S4" s="94"/>
      <c r="T4" s="94"/>
    </row>
    <row r="5" spans="1:20" ht="16.2" thickBot="1" x14ac:dyDescent="0.35">
      <c r="A5" s="99"/>
      <c r="B5" s="99"/>
      <c r="C5" s="101"/>
      <c r="D5" s="101"/>
      <c r="E5" s="101"/>
      <c r="F5" s="99"/>
      <c r="G5" s="182" t="s">
        <v>315</v>
      </c>
      <c r="H5" s="182"/>
      <c r="I5" s="102"/>
      <c r="R5" s="93"/>
      <c r="S5" s="94"/>
      <c r="T5" s="94"/>
    </row>
    <row r="6" spans="1:20" x14ac:dyDescent="0.3">
      <c r="A6" s="103"/>
      <c r="B6" s="104"/>
      <c r="C6" s="104"/>
      <c r="D6" s="105" t="s">
        <v>132</v>
      </c>
      <c r="E6" s="106" t="s">
        <v>133</v>
      </c>
      <c r="F6" s="105" t="s">
        <v>134</v>
      </c>
      <c r="G6" s="183" t="s">
        <v>135</v>
      </c>
      <c r="H6" s="106" t="s">
        <v>136</v>
      </c>
      <c r="R6" s="93" t="s">
        <v>137</v>
      </c>
      <c r="S6" s="94"/>
      <c r="T6" s="94"/>
    </row>
    <row r="7" spans="1:20" x14ac:dyDescent="0.3">
      <c r="A7" s="107" t="s">
        <v>138</v>
      </c>
      <c r="B7" s="108" t="s">
        <v>139</v>
      </c>
      <c r="C7" s="108" t="s">
        <v>6</v>
      </c>
      <c r="D7" s="108" t="s">
        <v>140</v>
      </c>
      <c r="E7" s="109" t="s">
        <v>141</v>
      </c>
      <c r="F7" s="108" t="s">
        <v>142</v>
      </c>
      <c r="G7" s="184"/>
      <c r="H7" s="109" t="s">
        <v>143</v>
      </c>
    </row>
    <row r="8" spans="1:20" ht="16.2" thickBot="1" x14ac:dyDescent="0.35">
      <c r="A8" s="110"/>
      <c r="B8" s="111"/>
      <c r="C8" s="111"/>
      <c r="D8" s="111"/>
      <c r="E8" s="79" t="s">
        <v>144</v>
      </c>
      <c r="F8" s="112" t="s">
        <v>145</v>
      </c>
      <c r="G8" s="79" t="s">
        <v>146</v>
      </c>
      <c r="H8" s="79" t="s">
        <v>146</v>
      </c>
    </row>
    <row r="9" spans="1:20" x14ac:dyDescent="0.3">
      <c r="A9" s="113"/>
      <c r="B9" s="114" t="s">
        <v>291</v>
      </c>
      <c r="C9" s="114"/>
      <c r="D9" s="114"/>
      <c r="E9" s="115"/>
      <c r="F9" s="114"/>
      <c r="G9" s="80"/>
      <c r="H9" s="116">
        <v>744</v>
      </c>
    </row>
    <row r="10" spans="1:20" x14ac:dyDescent="0.3">
      <c r="A10" s="117" t="s">
        <v>147</v>
      </c>
      <c r="B10" s="118" t="s">
        <v>148</v>
      </c>
      <c r="C10" s="118"/>
      <c r="D10" s="118"/>
      <c r="E10" s="119"/>
      <c r="F10" s="120"/>
      <c r="G10" s="81"/>
      <c r="H10" s="121"/>
    </row>
    <row r="11" spans="1:20" x14ac:dyDescent="0.3">
      <c r="A11" s="122"/>
      <c r="B11" s="123" t="s">
        <v>149</v>
      </c>
      <c r="C11" s="123"/>
      <c r="D11" s="123"/>
      <c r="E11" s="119"/>
      <c r="F11" s="81"/>
      <c r="G11" s="81"/>
      <c r="H11" s="121"/>
    </row>
    <row r="12" spans="1:20" x14ac:dyDescent="0.3">
      <c r="A12" s="122" t="s">
        <v>150</v>
      </c>
      <c r="B12" s="120" t="s">
        <v>151</v>
      </c>
      <c r="C12" s="124" t="s">
        <v>152</v>
      </c>
      <c r="D12" s="124"/>
      <c r="E12" s="81" t="s">
        <v>153</v>
      </c>
      <c r="F12" s="81">
        <v>63000</v>
      </c>
      <c r="G12" s="82">
        <f>(6441996+70170)/H9/1000</f>
        <v>8.7529112903225812</v>
      </c>
      <c r="H12" s="125">
        <f>F12/1000-G12</f>
        <v>54.247088709677421</v>
      </c>
      <c r="I12" s="126"/>
      <c r="N12" s="127"/>
    </row>
    <row r="13" spans="1:20" x14ac:dyDescent="0.3">
      <c r="A13" s="122"/>
      <c r="B13" s="120"/>
      <c r="C13" s="124" t="s">
        <v>154</v>
      </c>
      <c r="D13" s="124"/>
      <c r="E13" s="81" t="s">
        <v>155</v>
      </c>
      <c r="F13" s="81">
        <v>63000</v>
      </c>
      <c r="G13" s="82">
        <f>(8079852+108540)/H9/1000</f>
        <v>11.005903225806451</v>
      </c>
      <c r="H13" s="125">
        <f>F13/1000-G13</f>
        <v>51.994096774193551</v>
      </c>
      <c r="I13" s="126"/>
      <c r="N13" s="127"/>
    </row>
    <row r="14" spans="1:20" x14ac:dyDescent="0.3">
      <c r="A14" s="122"/>
      <c r="B14" s="123" t="s">
        <v>156</v>
      </c>
      <c r="C14" s="123"/>
      <c r="D14" s="123"/>
      <c r="E14" s="81"/>
      <c r="F14" s="81"/>
      <c r="G14" s="82"/>
      <c r="H14" s="125"/>
      <c r="I14" s="126"/>
      <c r="N14" s="127"/>
    </row>
    <row r="15" spans="1:20" x14ac:dyDescent="0.3">
      <c r="A15" s="122" t="s">
        <v>157</v>
      </c>
      <c r="B15" s="120" t="s">
        <v>158</v>
      </c>
      <c r="C15" s="120"/>
      <c r="D15" s="120"/>
      <c r="E15" s="81" t="s">
        <v>159</v>
      </c>
      <c r="F15" s="81">
        <v>6300</v>
      </c>
      <c r="G15" s="82">
        <f>228646/H9/1000</f>
        <v>0.30731989247311825</v>
      </c>
      <c r="H15" s="125">
        <f t="shared" ref="H15:H21" si="0">F15/1000-G15</f>
        <v>5.9926801075268816</v>
      </c>
      <c r="I15" s="126"/>
      <c r="N15" s="127"/>
    </row>
    <row r="16" spans="1:20" x14ac:dyDescent="0.3">
      <c r="A16" s="122" t="s">
        <v>160</v>
      </c>
      <c r="B16" s="120" t="s">
        <v>161</v>
      </c>
      <c r="C16" s="120" t="s">
        <v>162</v>
      </c>
      <c r="D16" s="120"/>
      <c r="E16" s="128">
        <v>11.1</v>
      </c>
      <c r="F16" s="81">
        <v>16000</v>
      </c>
      <c r="G16" s="82">
        <f>333941/H9/1000</f>
        <v>0.44884543010752692</v>
      </c>
      <c r="H16" s="125">
        <f t="shared" si="0"/>
        <v>15.551154569892473</v>
      </c>
      <c r="I16" s="126"/>
      <c r="N16" s="127"/>
    </row>
    <row r="17" spans="1:20" x14ac:dyDescent="0.3">
      <c r="A17" s="122"/>
      <c r="B17" s="120"/>
      <c r="C17" s="120" t="s">
        <v>163</v>
      </c>
      <c r="D17" s="120"/>
      <c r="E17" s="128">
        <v>11.1</v>
      </c>
      <c r="F17" s="81">
        <v>16000</v>
      </c>
      <c r="G17" s="82">
        <f>(-195388+284034)/H9/1000</f>
        <v>0.11914784946236559</v>
      </c>
      <c r="H17" s="125">
        <f t="shared" si="0"/>
        <v>15.880852150537635</v>
      </c>
      <c r="I17" s="126"/>
      <c r="N17" s="127"/>
    </row>
    <row r="18" spans="1:20" x14ac:dyDescent="0.3">
      <c r="A18" s="122" t="s">
        <v>164</v>
      </c>
      <c r="B18" s="120" t="s">
        <v>165</v>
      </c>
      <c r="C18" s="120" t="s">
        <v>162</v>
      </c>
      <c r="D18" s="120"/>
      <c r="E18" s="81" t="s">
        <v>166</v>
      </c>
      <c r="F18" s="81">
        <v>16000</v>
      </c>
      <c r="G18" s="82">
        <f>195696/H9/1000</f>
        <v>0.26303225806451613</v>
      </c>
      <c r="H18" s="125">
        <f t="shared" si="0"/>
        <v>15.736967741935484</v>
      </c>
      <c r="I18" s="126"/>
      <c r="N18" s="127"/>
    </row>
    <row r="19" spans="1:20" x14ac:dyDescent="0.3">
      <c r="A19" s="122"/>
      <c r="B19" s="120"/>
      <c r="C19" s="120" t="s">
        <v>163</v>
      </c>
      <c r="D19" s="120"/>
      <c r="E19" s="81" t="s">
        <v>167</v>
      </c>
      <c r="F19" s="81">
        <v>16000</v>
      </c>
      <c r="G19" s="82">
        <f>456624/H9/1000</f>
        <v>0.61374193548387102</v>
      </c>
      <c r="H19" s="125">
        <f t="shared" si="0"/>
        <v>15.386258064516129</v>
      </c>
      <c r="I19" s="126"/>
      <c r="N19" s="127"/>
    </row>
    <row r="20" spans="1:20" x14ac:dyDescent="0.3">
      <c r="A20" s="122" t="s">
        <v>168</v>
      </c>
      <c r="B20" s="120" t="s">
        <v>169</v>
      </c>
      <c r="C20" s="120" t="s">
        <v>162</v>
      </c>
      <c r="D20" s="120"/>
      <c r="E20" s="81" t="s">
        <v>170</v>
      </c>
      <c r="F20" s="81">
        <v>40000</v>
      </c>
      <c r="G20" s="82">
        <f>1273360/H9/1000</f>
        <v>1.7115053763440859</v>
      </c>
      <c r="H20" s="125">
        <f t="shared" si="0"/>
        <v>38.288494623655914</v>
      </c>
      <c r="I20" s="126"/>
      <c r="N20" s="127"/>
    </row>
    <row r="21" spans="1:20" x14ac:dyDescent="0.3">
      <c r="A21" s="122"/>
      <c r="B21" s="120"/>
      <c r="C21" s="120" t="s">
        <v>163</v>
      </c>
      <c r="D21" s="120"/>
      <c r="E21" s="81" t="s">
        <v>171</v>
      </c>
      <c r="F21" s="81">
        <v>40000</v>
      </c>
      <c r="G21" s="82">
        <f>803000/H9/1000</f>
        <v>1.0793010752688172</v>
      </c>
      <c r="H21" s="125">
        <f t="shared" si="0"/>
        <v>38.920698924731184</v>
      </c>
      <c r="I21" s="129"/>
      <c r="J21" s="130"/>
      <c r="K21" s="130"/>
      <c r="L21" s="130"/>
      <c r="M21" s="131" t="s">
        <v>307</v>
      </c>
      <c r="N21" s="132"/>
      <c r="O21" s="130"/>
      <c r="P21" s="130"/>
      <c r="Q21" s="130"/>
      <c r="R21" s="130"/>
      <c r="S21" s="130"/>
      <c r="T21" s="130"/>
    </row>
    <row r="22" spans="1:20" ht="17.399999999999999" x14ac:dyDescent="0.45">
      <c r="A22" s="122" t="s">
        <v>175</v>
      </c>
      <c r="B22" s="120" t="s">
        <v>176</v>
      </c>
      <c r="C22" s="120"/>
      <c r="D22" s="120"/>
      <c r="E22" s="81" t="s">
        <v>177</v>
      </c>
      <c r="F22" s="81">
        <v>10000</v>
      </c>
      <c r="G22" s="82">
        <f>(1091904+0)/H9/1000</f>
        <v>1.4676129032258063</v>
      </c>
      <c r="H22" s="125">
        <f>F22/1000-G22</f>
        <v>8.5323870967741939</v>
      </c>
      <c r="I22" s="133">
        <f>882994+321783</f>
        <v>1204777</v>
      </c>
      <c r="J22" s="134"/>
      <c r="K22" s="134"/>
      <c r="L22" s="134"/>
      <c r="M22" s="134" t="s">
        <v>306</v>
      </c>
      <c r="N22" s="135">
        <f>1190287+92437</f>
        <v>1282724</v>
      </c>
      <c r="O22" s="136" t="s">
        <v>302</v>
      </c>
      <c r="P22" s="136"/>
      <c r="Q22" s="136"/>
      <c r="R22" s="136"/>
      <c r="S22" s="136"/>
      <c r="T22" s="136"/>
    </row>
    <row r="23" spans="1:20" hidden="1" x14ac:dyDescent="0.3">
      <c r="A23" s="122"/>
      <c r="B23" s="120"/>
      <c r="C23" s="120"/>
      <c r="D23" s="120"/>
      <c r="E23" s="81" t="s">
        <v>173</v>
      </c>
      <c r="F23" s="81">
        <v>2500</v>
      </c>
      <c r="G23" s="82">
        <f>(0+0-0)/H9/1000</f>
        <v>0</v>
      </c>
      <c r="H23" s="125">
        <f>F23/1000-G23</f>
        <v>2.5</v>
      </c>
      <c r="I23" s="126"/>
      <c r="N23" s="127"/>
    </row>
    <row r="24" spans="1:20" x14ac:dyDescent="0.3">
      <c r="A24" s="122" t="s">
        <v>178</v>
      </c>
      <c r="B24" s="120" t="s">
        <v>179</v>
      </c>
      <c r="C24" s="120"/>
      <c r="D24" s="120"/>
      <c r="E24" s="81" t="s">
        <v>180</v>
      </c>
      <c r="F24" s="81">
        <v>6300</v>
      </c>
      <c r="G24" s="82">
        <f>601194/H9/1000</f>
        <v>0.80805645161290318</v>
      </c>
      <c r="H24" s="125">
        <f>F24/1000-G24</f>
        <v>5.4919435483870966</v>
      </c>
      <c r="I24" s="126"/>
      <c r="N24" s="127"/>
    </row>
    <row r="25" spans="1:20" x14ac:dyDescent="0.3">
      <c r="A25" s="122"/>
      <c r="B25" s="123" t="s">
        <v>181</v>
      </c>
      <c r="C25" s="123"/>
      <c r="D25" s="123"/>
      <c r="E25" s="81"/>
      <c r="F25" s="81"/>
      <c r="G25" s="82"/>
      <c r="H25" s="125"/>
      <c r="I25" s="126"/>
      <c r="N25" s="127"/>
    </row>
    <row r="26" spans="1:20" x14ac:dyDescent="0.3">
      <c r="A26" s="122" t="s">
        <v>182</v>
      </c>
      <c r="B26" s="120" t="s">
        <v>183</v>
      </c>
      <c r="C26" s="120" t="s">
        <v>162</v>
      </c>
      <c r="D26" s="120"/>
      <c r="E26" s="128" t="s">
        <v>184</v>
      </c>
      <c r="F26" s="81">
        <v>1000</v>
      </c>
      <c r="G26" s="82">
        <f>113492/H9/1000</f>
        <v>0.15254301075268817</v>
      </c>
      <c r="H26" s="125">
        <f>F26/1000-G26</f>
        <v>0.84745698924731183</v>
      </c>
      <c r="I26" s="126"/>
      <c r="N26" s="127"/>
    </row>
    <row r="27" spans="1:20" x14ac:dyDescent="0.3">
      <c r="A27" s="122"/>
      <c r="B27" s="120"/>
      <c r="C27" s="120" t="s">
        <v>163</v>
      </c>
      <c r="D27" s="120"/>
      <c r="E27" s="81" t="s">
        <v>173</v>
      </c>
      <c r="F27" s="81">
        <v>6300</v>
      </c>
      <c r="G27" s="82" t="s">
        <v>174</v>
      </c>
      <c r="H27" s="125"/>
      <c r="I27" s="126"/>
      <c r="N27" s="127"/>
    </row>
    <row r="28" spans="1:20" x14ac:dyDescent="0.3">
      <c r="A28" s="122" t="s">
        <v>185</v>
      </c>
      <c r="B28" s="120" t="s">
        <v>186</v>
      </c>
      <c r="C28" s="120"/>
      <c r="D28" s="120"/>
      <c r="E28" s="128" t="s">
        <v>184</v>
      </c>
      <c r="F28" s="81">
        <v>1000</v>
      </c>
      <c r="G28" s="82">
        <f>19214/H9/1000</f>
        <v>2.5825268817204299E-2</v>
      </c>
      <c r="H28" s="125">
        <f>F28/1000-G28</f>
        <v>0.97417473118279574</v>
      </c>
      <c r="I28" s="129" t="s">
        <v>310</v>
      </c>
      <c r="N28" s="127"/>
    </row>
    <row r="29" spans="1:20" x14ac:dyDescent="0.3">
      <c r="A29" s="122" t="s">
        <v>187</v>
      </c>
      <c r="B29" s="120" t="s">
        <v>188</v>
      </c>
      <c r="C29" s="120"/>
      <c r="D29" s="120"/>
      <c r="E29" s="128" t="s">
        <v>184</v>
      </c>
      <c r="F29" s="81">
        <v>1000</v>
      </c>
      <c r="G29" s="82">
        <f>0/H9/1000</f>
        <v>0</v>
      </c>
      <c r="H29" s="125">
        <f>F29/1000-G29</f>
        <v>1</v>
      </c>
      <c r="I29" s="126"/>
      <c r="N29" s="127"/>
    </row>
    <row r="30" spans="1:20" x14ac:dyDescent="0.3">
      <c r="A30" s="122" t="s">
        <v>191</v>
      </c>
      <c r="B30" s="120" t="s">
        <v>295</v>
      </c>
      <c r="C30" s="120"/>
      <c r="D30" s="120"/>
      <c r="E30" s="81" t="s">
        <v>296</v>
      </c>
      <c r="F30" s="81">
        <v>4000</v>
      </c>
      <c r="G30" s="82">
        <f>82866/H9/1000</f>
        <v>0.11137903225806452</v>
      </c>
      <c r="H30" s="125">
        <f>F30/1000-G30</f>
        <v>3.8886209677419354</v>
      </c>
      <c r="I30" s="126"/>
      <c r="N30" s="127"/>
    </row>
    <row r="31" spans="1:20" hidden="1" x14ac:dyDescent="0.3">
      <c r="A31" s="122"/>
      <c r="B31" s="120"/>
      <c r="C31" s="120" t="s">
        <v>163</v>
      </c>
      <c r="D31" s="120"/>
      <c r="E31" s="81" t="s">
        <v>173</v>
      </c>
      <c r="F31" s="81">
        <v>6300</v>
      </c>
      <c r="G31" s="82" t="s">
        <v>174</v>
      </c>
      <c r="H31" s="125"/>
      <c r="I31" s="126"/>
      <c r="N31" s="127"/>
    </row>
    <row r="32" spans="1:20" x14ac:dyDescent="0.3">
      <c r="A32" s="117" t="s">
        <v>189</v>
      </c>
      <c r="B32" s="118" t="s">
        <v>190</v>
      </c>
      <c r="C32" s="118"/>
      <c r="D32" s="118"/>
      <c r="E32" s="81"/>
      <c r="F32" s="81"/>
      <c r="G32" s="82"/>
      <c r="H32" s="125"/>
      <c r="I32" s="126"/>
      <c r="N32" s="127"/>
    </row>
    <row r="33" spans="1:14" x14ac:dyDescent="0.3">
      <c r="A33" s="117"/>
      <c r="B33" s="123" t="s">
        <v>149</v>
      </c>
      <c r="C33" s="123"/>
      <c r="D33" s="123"/>
      <c r="E33" s="81"/>
      <c r="F33" s="81"/>
      <c r="G33" s="82"/>
      <c r="H33" s="125"/>
      <c r="I33" s="126"/>
      <c r="N33" s="127"/>
    </row>
    <row r="34" spans="1:14" x14ac:dyDescent="0.3">
      <c r="A34" s="122" t="s">
        <v>195</v>
      </c>
      <c r="B34" s="120" t="s">
        <v>192</v>
      </c>
      <c r="C34" s="120" t="s">
        <v>162</v>
      </c>
      <c r="D34" s="137"/>
      <c r="E34" s="81" t="s">
        <v>193</v>
      </c>
      <c r="F34" s="81">
        <v>25000</v>
      </c>
      <c r="G34" s="82">
        <f>2328084/H9/1000</f>
        <v>3.1291451612903223</v>
      </c>
      <c r="H34" s="125">
        <f>F34/1000-G34</f>
        <v>21.870854838709679</v>
      </c>
      <c r="I34" s="129" t="s">
        <v>311</v>
      </c>
      <c r="N34" s="127"/>
    </row>
    <row r="35" spans="1:14" x14ac:dyDescent="0.3">
      <c r="A35" s="122"/>
      <c r="B35" s="81"/>
      <c r="C35" s="120" t="s">
        <v>163</v>
      </c>
      <c r="D35" s="137"/>
      <c r="E35" s="81" t="s">
        <v>194</v>
      </c>
      <c r="F35" s="81">
        <v>25000</v>
      </c>
      <c r="G35" s="82">
        <f>4062696/H9/1000</f>
        <v>5.4606129032258064</v>
      </c>
      <c r="H35" s="125">
        <f>F35/1000-G35</f>
        <v>19.539387096774192</v>
      </c>
      <c r="I35" s="126"/>
      <c r="N35" s="127"/>
    </row>
    <row r="36" spans="1:14" x14ac:dyDescent="0.3">
      <c r="A36" s="122" t="s">
        <v>198</v>
      </c>
      <c r="B36" s="120" t="s">
        <v>313</v>
      </c>
      <c r="C36" s="120" t="s">
        <v>162</v>
      </c>
      <c r="D36" s="120"/>
      <c r="E36" s="81" t="s">
        <v>196</v>
      </c>
      <c r="F36" s="81">
        <v>40000</v>
      </c>
      <c r="G36" s="82">
        <f>3201792/H9/1000</f>
        <v>4.3034838709677414</v>
      </c>
      <c r="H36" s="125">
        <f t="shared" ref="H36:H41" si="1">F36/1000-G36</f>
        <v>35.696516129032261</v>
      </c>
      <c r="I36" s="126"/>
      <c r="N36" s="127"/>
    </row>
    <row r="37" spans="1:14" x14ac:dyDescent="0.3">
      <c r="A37" s="122"/>
      <c r="B37" s="81"/>
      <c r="C37" s="120" t="s">
        <v>163</v>
      </c>
      <c r="D37" s="120"/>
      <c r="E37" s="81" t="s">
        <v>197</v>
      </c>
      <c r="F37" s="81">
        <v>40000</v>
      </c>
      <c r="G37" s="82">
        <f>2848824/H9/1000</f>
        <v>3.8290645161290322</v>
      </c>
      <c r="H37" s="125">
        <f t="shared" si="1"/>
        <v>36.17093548387097</v>
      </c>
      <c r="I37" s="126"/>
      <c r="N37" s="127"/>
    </row>
    <row r="38" spans="1:14" x14ac:dyDescent="0.3">
      <c r="A38" s="122" t="s">
        <v>208</v>
      </c>
      <c r="B38" s="120" t="s">
        <v>199</v>
      </c>
      <c r="C38" s="120" t="s">
        <v>162</v>
      </c>
      <c r="D38" s="120"/>
      <c r="E38" s="81" t="s">
        <v>200</v>
      </c>
      <c r="F38" s="81">
        <v>20000</v>
      </c>
      <c r="G38" s="82">
        <f>(6044544)/H9/1000</f>
        <v>8.1243870967741927</v>
      </c>
      <c r="H38" s="125">
        <f t="shared" si="1"/>
        <v>11.875612903225807</v>
      </c>
      <c r="I38" s="126"/>
      <c r="N38" s="127"/>
    </row>
    <row r="39" spans="1:14" x14ac:dyDescent="0.3">
      <c r="A39" s="122"/>
      <c r="B39" s="81"/>
      <c r="C39" s="120" t="s">
        <v>163</v>
      </c>
      <c r="D39" s="120"/>
      <c r="E39" s="81" t="s">
        <v>201</v>
      </c>
      <c r="F39" s="81">
        <v>20000</v>
      </c>
      <c r="G39" s="82">
        <f>2237312/H9/1000</f>
        <v>3.0071397849462365</v>
      </c>
      <c r="H39" s="125">
        <f t="shared" si="1"/>
        <v>16.992860215053764</v>
      </c>
      <c r="I39" s="126"/>
      <c r="N39" s="127"/>
    </row>
    <row r="40" spans="1:14" x14ac:dyDescent="0.3">
      <c r="A40" s="117"/>
      <c r="B40" s="120" t="s">
        <v>202</v>
      </c>
      <c r="C40" s="120" t="s">
        <v>203</v>
      </c>
      <c r="D40" s="120" t="s">
        <v>173</v>
      </c>
      <c r="E40" s="81" t="s">
        <v>204</v>
      </c>
      <c r="F40" s="81">
        <v>10000</v>
      </c>
      <c r="G40" s="82">
        <f>0/H9/1000</f>
        <v>0</v>
      </c>
      <c r="H40" s="125">
        <f t="shared" si="1"/>
        <v>10</v>
      </c>
      <c r="I40" s="126"/>
      <c r="N40" s="127"/>
    </row>
    <row r="41" spans="1:14" x14ac:dyDescent="0.3">
      <c r="A41" s="122"/>
      <c r="B41" s="120" t="s">
        <v>202</v>
      </c>
      <c r="C41" s="120" t="s">
        <v>205</v>
      </c>
      <c r="D41" s="120" t="s">
        <v>173</v>
      </c>
      <c r="E41" s="81" t="s">
        <v>206</v>
      </c>
      <c r="F41" s="81">
        <v>10000</v>
      </c>
      <c r="G41" s="82">
        <f>21/H9/1000</f>
        <v>2.8225806451612902E-5</v>
      </c>
      <c r="H41" s="125">
        <f t="shared" si="1"/>
        <v>9.9999717741935488</v>
      </c>
      <c r="I41" s="126"/>
      <c r="N41" s="127"/>
    </row>
    <row r="42" spans="1:14" x14ac:dyDescent="0.3">
      <c r="A42" s="122"/>
      <c r="B42" s="123" t="s">
        <v>207</v>
      </c>
      <c r="C42" s="123"/>
      <c r="D42" s="123"/>
      <c r="E42" s="81"/>
      <c r="F42" s="81"/>
      <c r="G42" s="82"/>
      <c r="H42" s="125"/>
      <c r="I42" s="126"/>
      <c r="N42" s="127"/>
    </row>
    <row r="43" spans="1:14" x14ac:dyDescent="0.3">
      <c r="A43" s="122" t="s">
        <v>209</v>
      </c>
      <c r="B43" s="120" t="s">
        <v>299</v>
      </c>
      <c r="C43" s="120"/>
      <c r="D43" s="120"/>
      <c r="E43" s="81" t="s">
        <v>298</v>
      </c>
      <c r="F43" s="81">
        <v>2500</v>
      </c>
      <c r="G43" s="82">
        <f>221452/H9/1000</f>
        <v>0.29765053763440857</v>
      </c>
      <c r="H43" s="125">
        <f>F43/1000-G43</f>
        <v>2.2023494623655915</v>
      </c>
      <c r="I43" s="126"/>
      <c r="J43" s="92" t="s">
        <v>210</v>
      </c>
      <c r="L43" s="138"/>
      <c r="N43" s="127"/>
    </row>
    <row r="44" spans="1:14" x14ac:dyDescent="0.3">
      <c r="A44" s="122"/>
      <c r="B44" s="123" t="s">
        <v>181</v>
      </c>
      <c r="C44" s="123"/>
      <c r="D44" s="123"/>
      <c r="E44" s="81"/>
      <c r="F44" s="81"/>
      <c r="G44" s="82"/>
      <c r="H44" s="125"/>
      <c r="I44" s="126"/>
      <c r="N44" s="127"/>
    </row>
    <row r="45" spans="1:14" x14ac:dyDescent="0.3">
      <c r="A45" s="122" t="s">
        <v>211</v>
      </c>
      <c r="B45" s="120" t="s">
        <v>297</v>
      </c>
      <c r="C45" s="120"/>
      <c r="D45" s="120"/>
      <c r="E45" s="81" t="s">
        <v>300</v>
      </c>
      <c r="F45" s="81">
        <v>6300</v>
      </c>
      <c r="G45" s="82">
        <f>1075008/H9/1000</f>
        <v>1.4449032258064518</v>
      </c>
      <c r="H45" s="125">
        <f>F45/1000-G45</f>
        <v>4.855096774193548</v>
      </c>
      <c r="I45" s="126"/>
      <c r="N45" s="127"/>
    </row>
    <row r="46" spans="1:14" x14ac:dyDescent="0.3">
      <c r="A46" s="122" t="s">
        <v>214</v>
      </c>
      <c r="B46" s="120" t="s">
        <v>212</v>
      </c>
      <c r="C46" s="120"/>
      <c r="D46" s="120"/>
      <c r="E46" s="81" t="s">
        <v>213</v>
      </c>
      <c r="F46" s="81">
        <v>2500</v>
      </c>
      <c r="G46" s="82">
        <f>9326/H9/1000</f>
        <v>1.253494623655914E-2</v>
      </c>
      <c r="H46" s="125">
        <f t="shared" ref="H46:H53" si="2">F46/1000-G46</f>
        <v>2.4874650537634411</v>
      </c>
      <c r="I46" s="126"/>
      <c r="N46" s="127"/>
    </row>
    <row r="47" spans="1:14" x14ac:dyDescent="0.3">
      <c r="A47" s="122" t="s">
        <v>217</v>
      </c>
      <c r="B47" s="120" t="s">
        <v>215</v>
      </c>
      <c r="C47" s="120"/>
      <c r="D47" s="120"/>
      <c r="E47" s="81" t="s">
        <v>216</v>
      </c>
      <c r="F47" s="81">
        <v>6300</v>
      </c>
      <c r="G47" s="82">
        <f>503071/H9/1000</f>
        <v>0.67617069892473114</v>
      </c>
      <c r="H47" s="125">
        <f t="shared" si="2"/>
        <v>5.6238293010752685</v>
      </c>
      <c r="I47" s="126"/>
      <c r="N47" s="127"/>
    </row>
    <row r="48" spans="1:14" x14ac:dyDescent="0.3">
      <c r="A48" s="122" t="s">
        <v>220</v>
      </c>
      <c r="B48" s="120" t="s">
        <v>218</v>
      </c>
      <c r="C48" s="120" t="s">
        <v>162</v>
      </c>
      <c r="D48" s="120"/>
      <c r="E48" s="81" t="s">
        <v>173</v>
      </c>
      <c r="F48" s="81">
        <v>2500</v>
      </c>
      <c r="G48" s="82">
        <f>0/H9/1000</f>
        <v>0</v>
      </c>
      <c r="H48" s="125">
        <f t="shared" si="2"/>
        <v>2.5</v>
      </c>
      <c r="I48" s="126"/>
      <c r="N48" s="127"/>
    </row>
    <row r="49" spans="1:14" x14ac:dyDescent="0.3">
      <c r="A49" s="122"/>
      <c r="B49" s="120"/>
      <c r="C49" s="120" t="s">
        <v>163</v>
      </c>
      <c r="D49" s="120"/>
      <c r="E49" s="81" t="s">
        <v>219</v>
      </c>
      <c r="F49" s="81">
        <v>2500</v>
      </c>
      <c r="G49" s="82">
        <f>331312/H9/1000</f>
        <v>0.44531182795698926</v>
      </c>
      <c r="H49" s="125">
        <f t="shared" si="2"/>
        <v>2.0546881720430106</v>
      </c>
      <c r="I49" s="126"/>
      <c r="N49" s="127"/>
    </row>
    <row r="50" spans="1:14" x14ac:dyDescent="0.3">
      <c r="A50" s="122" t="s">
        <v>221</v>
      </c>
      <c r="B50" s="120" t="s">
        <v>303</v>
      </c>
      <c r="C50" s="120" t="s">
        <v>162</v>
      </c>
      <c r="D50" s="120"/>
      <c r="E50" s="81">
        <v>6.62</v>
      </c>
      <c r="F50" s="81">
        <v>4000</v>
      </c>
      <c r="G50" s="82">
        <f>438840/H9/1000</f>
        <v>0.58983870967741936</v>
      </c>
      <c r="H50" s="125">
        <f t="shared" si="2"/>
        <v>3.4101612903225806</v>
      </c>
      <c r="I50" s="126"/>
      <c r="N50" s="127"/>
    </row>
    <row r="51" spans="1:14" x14ac:dyDescent="0.3">
      <c r="A51" s="139"/>
      <c r="B51" s="120" t="s">
        <v>304</v>
      </c>
      <c r="C51" s="120" t="s">
        <v>163</v>
      </c>
      <c r="D51" s="120"/>
      <c r="E51" s="81">
        <v>11.1</v>
      </c>
      <c r="F51" s="81">
        <v>1600</v>
      </c>
      <c r="G51" s="82">
        <f>329200/H9/1000</f>
        <v>0.44247311827956992</v>
      </c>
      <c r="H51" s="125">
        <f>F51/1000-G51</f>
        <v>1.1575268817204303</v>
      </c>
      <c r="I51" s="126"/>
      <c r="N51" s="127"/>
    </row>
    <row r="52" spans="1:14" x14ac:dyDescent="0.3">
      <c r="A52" s="122" t="s">
        <v>223</v>
      </c>
      <c r="B52" s="119" t="s">
        <v>222</v>
      </c>
      <c r="C52" s="120"/>
      <c r="D52" s="120"/>
      <c r="E52" s="81">
        <v>0.4</v>
      </c>
      <c r="F52" s="81">
        <v>250</v>
      </c>
      <c r="G52" s="82">
        <f>(14887)/H9/1000</f>
        <v>2.0009408602150537E-2</v>
      </c>
      <c r="H52" s="125">
        <f t="shared" si="2"/>
        <v>0.22999059139784947</v>
      </c>
      <c r="I52" s="126"/>
      <c r="N52" s="127"/>
    </row>
    <row r="53" spans="1:14" x14ac:dyDescent="0.3">
      <c r="A53" s="140" t="s">
        <v>301</v>
      </c>
      <c r="B53" s="141" t="s">
        <v>305</v>
      </c>
      <c r="C53" s="142"/>
      <c r="D53" s="142"/>
      <c r="E53" s="143">
        <v>0.4</v>
      </c>
      <c r="F53" s="143">
        <v>250</v>
      </c>
      <c r="G53" s="176">
        <f>(3274)/H9/1000</f>
        <v>4.4005376344086024E-3</v>
      </c>
      <c r="H53" s="144">
        <f t="shared" si="2"/>
        <v>0.24559946236559141</v>
      </c>
      <c r="I53" s="126"/>
      <c r="N53" s="127"/>
    </row>
    <row r="54" spans="1:14" x14ac:dyDescent="0.3">
      <c r="A54" s="99"/>
      <c r="B54" s="145"/>
      <c r="C54" s="99"/>
      <c r="D54" s="99"/>
      <c r="E54" s="101"/>
      <c r="F54" s="101"/>
      <c r="G54" s="83">
        <f>SUM(G12:G53)</f>
        <v>58.654279569892473</v>
      </c>
      <c r="H54" s="146"/>
      <c r="I54" s="126"/>
      <c r="N54" s="127"/>
    </row>
    <row r="55" spans="1:14" x14ac:dyDescent="0.3">
      <c r="A55" s="99"/>
      <c r="B55" s="145"/>
      <c r="C55" s="99"/>
      <c r="D55" s="99"/>
      <c r="E55" s="101"/>
      <c r="F55" s="101"/>
      <c r="G55" s="83"/>
      <c r="H55" s="146"/>
      <c r="I55" s="126"/>
      <c r="N55" s="127"/>
    </row>
    <row r="56" spans="1:14" x14ac:dyDescent="0.3">
      <c r="C56" s="147"/>
      <c r="E56" s="147"/>
      <c r="H56" s="84"/>
    </row>
    <row r="57" spans="1:14" ht="18" x14ac:dyDescent="0.35">
      <c r="C57" s="148"/>
      <c r="D57" s="149"/>
      <c r="E57" s="147"/>
      <c r="G57" s="185" t="s">
        <v>224</v>
      </c>
      <c r="H57" s="185"/>
    </row>
    <row r="58" spans="1:14" x14ac:dyDescent="0.3">
      <c r="B58" s="186" t="s">
        <v>225</v>
      </c>
      <c r="C58" s="187"/>
      <c r="D58" s="187"/>
      <c r="E58" s="187"/>
      <c r="F58" s="187"/>
      <c r="G58" s="187"/>
      <c r="H58" s="187"/>
    </row>
    <row r="59" spans="1:14" ht="18" x14ac:dyDescent="0.35">
      <c r="B59" s="150"/>
      <c r="C59" s="151"/>
      <c r="D59" s="150" t="s">
        <v>226</v>
      </c>
      <c r="E59" s="147"/>
      <c r="G59" s="188" t="str">
        <f>G5</f>
        <v>за май 2026г.</v>
      </c>
      <c r="H59" s="188"/>
    </row>
    <row r="60" spans="1:14" x14ac:dyDescent="0.3">
      <c r="A60" s="179" t="s">
        <v>138</v>
      </c>
      <c r="B60" s="179" t="s">
        <v>227</v>
      </c>
      <c r="C60" s="152" t="s">
        <v>228</v>
      </c>
      <c r="D60" s="179" t="s">
        <v>229</v>
      </c>
      <c r="E60" s="152" t="s">
        <v>230</v>
      </c>
      <c r="F60" s="153" t="s">
        <v>231</v>
      </c>
      <c r="G60" s="179" t="s">
        <v>232</v>
      </c>
      <c r="H60" s="154" t="s">
        <v>233</v>
      </c>
    </row>
    <row r="61" spans="1:14" x14ac:dyDescent="0.3">
      <c r="A61" s="180"/>
      <c r="B61" s="180"/>
      <c r="C61" s="155" t="s">
        <v>234</v>
      </c>
      <c r="D61" s="180"/>
      <c r="E61" s="155" t="s">
        <v>235</v>
      </c>
      <c r="F61" s="156" t="s">
        <v>236</v>
      </c>
      <c r="G61" s="181"/>
      <c r="H61" s="155" t="s">
        <v>143</v>
      </c>
    </row>
    <row r="62" spans="1:14" x14ac:dyDescent="0.3">
      <c r="A62" s="157"/>
      <c r="B62" s="157"/>
      <c r="C62" s="85" t="s">
        <v>237</v>
      </c>
      <c r="D62" s="85" t="s">
        <v>238</v>
      </c>
      <c r="E62" s="85" t="s">
        <v>144</v>
      </c>
      <c r="F62" s="158" t="s">
        <v>146</v>
      </c>
      <c r="G62" s="85" t="s">
        <v>146</v>
      </c>
      <c r="H62" s="85" t="s">
        <v>146</v>
      </c>
    </row>
    <row r="63" spans="1:14" x14ac:dyDescent="0.3">
      <c r="A63" s="159"/>
      <c r="B63" s="160" t="s">
        <v>239</v>
      </c>
      <c r="C63" s="161"/>
      <c r="D63" s="160"/>
      <c r="E63" s="161"/>
      <c r="F63" s="162"/>
      <c r="G63" s="85"/>
      <c r="H63" s="85"/>
    </row>
    <row r="64" spans="1:14" x14ac:dyDescent="0.3">
      <c r="A64" s="163" t="s">
        <v>150</v>
      </c>
      <c r="B64" s="164" t="s">
        <v>240</v>
      </c>
      <c r="C64" s="165"/>
      <c r="D64" s="164"/>
      <c r="E64" s="165"/>
      <c r="F64" s="166"/>
      <c r="G64" s="86"/>
      <c r="H64" s="167">
        <f>H9</f>
        <v>744</v>
      </c>
    </row>
    <row r="65" spans="1:16" x14ac:dyDescent="0.3">
      <c r="A65" s="122"/>
      <c r="B65" s="120" t="s">
        <v>241</v>
      </c>
      <c r="C65" s="81">
        <v>176.7</v>
      </c>
      <c r="D65" s="120" t="s">
        <v>242</v>
      </c>
      <c r="E65" s="81">
        <v>110</v>
      </c>
      <c r="F65" s="81">
        <v>56.5</v>
      </c>
      <c r="G65" s="82">
        <f>2185326/H64/1000</f>
        <v>2.9372661290322579</v>
      </c>
      <c r="H65" s="168">
        <f>F65-G65</f>
        <v>53.56273387096774</v>
      </c>
    </row>
    <row r="66" spans="1:16" x14ac:dyDescent="0.3">
      <c r="A66" s="122"/>
      <c r="B66" s="120" t="s">
        <v>243</v>
      </c>
      <c r="C66" s="81">
        <v>176.7</v>
      </c>
      <c r="D66" s="120" t="s">
        <v>242</v>
      </c>
      <c r="E66" s="81">
        <v>110</v>
      </c>
      <c r="F66" s="81">
        <v>56.5</v>
      </c>
      <c r="G66" s="82">
        <f>4855686/H64/1000</f>
        <v>6.5264596774193553</v>
      </c>
      <c r="H66" s="168">
        <f t="shared" ref="H66:H107" si="3">F66-G66</f>
        <v>49.973540322580646</v>
      </c>
    </row>
    <row r="67" spans="1:16" x14ac:dyDescent="0.3">
      <c r="A67" s="122" t="s">
        <v>157</v>
      </c>
      <c r="B67" s="123" t="s">
        <v>244</v>
      </c>
      <c r="C67" s="169"/>
      <c r="D67" s="123"/>
      <c r="E67" s="169"/>
      <c r="F67" s="81"/>
      <c r="G67" s="82"/>
      <c r="H67" s="168"/>
    </row>
    <row r="68" spans="1:16" x14ac:dyDescent="0.3">
      <c r="A68" s="122"/>
      <c r="B68" s="120" t="s">
        <v>245</v>
      </c>
      <c r="C68" s="81">
        <v>10.26</v>
      </c>
      <c r="D68" s="120" t="s">
        <v>246</v>
      </c>
      <c r="E68" s="81">
        <v>110</v>
      </c>
      <c r="F68" s="81">
        <v>56.5</v>
      </c>
      <c r="G68" s="82">
        <f>(4059000-1340000)/H64/1000</f>
        <v>3.654569892473118</v>
      </c>
      <c r="H68" s="168">
        <f t="shared" si="3"/>
        <v>52.84543010752688</v>
      </c>
      <c r="N68" s="170"/>
    </row>
    <row r="69" spans="1:16" x14ac:dyDescent="0.3">
      <c r="A69" s="122"/>
      <c r="B69" s="120" t="s">
        <v>247</v>
      </c>
      <c r="C69" s="81">
        <v>10.054</v>
      </c>
      <c r="D69" s="120" t="s">
        <v>246</v>
      </c>
      <c r="E69" s="81">
        <v>110</v>
      </c>
      <c r="F69" s="81">
        <v>56.5</v>
      </c>
      <c r="G69" s="82">
        <f>(6886000-1785000)/H64/1000</f>
        <v>6.856182795698925</v>
      </c>
      <c r="H69" s="168">
        <f t="shared" si="3"/>
        <v>49.643817204301072</v>
      </c>
      <c r="I69" s="126"/>
      <c r="N69" s="171"/>
    </row>
    <row r="70" spans="1:16" x14ac:dyDescent="0.3">
      <c r="A70" s="122" t="s">
        <v>160</v>
      </c>
      <c r="B70" s="123" t="s">
        <v>248</v>
      </c>
      <c r="C70" s="169"/>
      <c r="D70" s="123"/>
      <c r="E70" s="169"/>
      <c r="F70" s="81"/>
      <c r="G70" s="82"/>
      <c r="H70" s="168">
        <f t="shared" si="3"/>
        <v>0</v>
      </c>
    </row>
    <row r="71" spans="1:16" x14ac:dyDescent="0.3">
      <c r="A71" s="122"/>
      <c r="B71" s="120" t="s">
        <v>249</v>
      </c>
      <c r="C71" s="81">
        <v>114.9</v>
      </c>
      <c r="D71" s="120" t="s">
        <v>250</v>
      </c>
      <c r="E71" s="81">
        <v>35</v>
      </c>
      <c r="F71" s="81">
        <v>11.4</v>
      </c>
      <c r="G71" s="82">
        <f>76328/H64/1000</f>
        <v>0.10259139784946236</v>
      </c>
      <c r="H71" s="168">
        <f t="shared" si="3"/>
        <v>11.297408602150538</v>
      </c>
      <c r="N71" s="172"/>
      <c r="O71" s="172"/>
      <c r="P71" s="172"/>
    </row>
    <row r="72" spans="1:16" x14ac:dyDescent="0.3">
      <c r="A72" s="122"/>
      <c r="B72" s="120" t="s">
        <v>251</v>
      </c>
      <c r="C72" s="81">
        <v>67.099999999999994</v>
      </c>
      <c r="D72" s="120" t="s">
        <v>252</v>
      </c>
      <c r="E72" s="81">
        <v>35</v>
      </c>
      <c r="F72" s="81">
        <v>14.4</v>
      </c>
      <c r="G72" s="82">
        <f>38199/H64/1000</f>
        <v>5.1342741935483875E-2</v>
      </c>
      <c r="H72" s="168">
        <f t="shared" si="3"/>
        <v>14.348657258064517</v>
      </c>
    </row>
    <row r="73" spans="1:16" x14ac:dyDescent="0.3">
      <c r="A73" s="122"/>
      <c r="B73" s="120" t="s">
        <v>253</v>
      </c>
      <c r="C73" s="81">
        <v>27.2</v>
      </c>
      <c r="D73" s="120" t="s">
        <v>254</v>
      </c>
      <c r="E73" s="81">
        <v>35</v>
      </c>
      <c r="F73" s="81">
        <v>11.4</v>
      </c>
      <c r="G73" s="82">
        <f>446215/H64/1000</f>
        <v>0.59975134408602149</v>
      </c>
      <c r="H73" s="168">
        <f t="shared" si="3"/>
        <v>10.800248655913979</v>
      </c>
    </row>
    <row r="74" spans="1:16" x14ac:dyDescent="0.3">
      <c r="A74" s="122"/>
      <c r="B74" s="120" t="s">
        <v>255</v>
      </c>
      <c r="C74" s="81">
        <v>52.7</v>
      </c>
      <c r="D74" s="120" t="s">
        <v>246</v>
      </c>
      <c r="E74" s="81">
        <v>35</v>
      </c>
      <c r="F74" s="81">
        <v>17.899999999999999</v>
      </c>
      <c r="G74" s="82">
        <f>(1219029)/H64/1000</f>
        <v>1.6384798387096773</v>
      </c>
      <c r="H74" s="168">
        <f t="shared" si="3"/>
        <v>16.261520161290321</v>
      </c>
    </row>
    <row r="75" spans="1:16" x14ac:dyDescent="0.3">
      <c r="A75" s="122"/>
      <c r="B75" s="120" t="s">
        <v>256</v>
      </c>
      <c r="C75" s="81">
        <v>4.82</v>
      </c>
      <c r="D75" s="120" t="s">
        <v>257</v>
      </c>
      <c r="E75" s="81">
        <v>35</v>
      </c>
      <c r="F75" s="81">
        <v>17.899999999999999</v>
      </c>
      <c r="G75" s="82">
        <f>496787/H64/1000</f>
        <v>0.66772446236559146</v>
      </c>
      <c r="H75" s="168">
        <f t="shared" si="3"/>
        <v>17.232275537634408</v>
      </c>
    </row>
    <row r="76" spans="1:16" x14ac:dyDescent="0.3">
      <c r="A76" s="122"/>
      <c r="B76" s="120" t="s">
        <v>258</v>
      </c>
      <c r="C76" s="81">
        <v>4.82</v>
      </c>
      <c r="D76" s="120" t="s">
        <v>257</v>
      </c>
      <c r="E76" s="81">
        <v>35</v>
      </c>
      <c r="F76" s="81">
        <v>17.899999999999999</v>
      </c>
      <c r="G76" s="82">
        <f>322151/H64/1000</f>
        <v>0.43299865591397851</v>
      </c>
      <c r="H76" s="168">
        <f t="shared" si="3"/>
        <v>17.467001344086022</v>
      </c>
    </row>
    <row r="77" spans="1:16" x14ac:dyDescent="0.3">
      <c r="A77" s="122"/>
      <c r="B77" s="120" t="s">
        <v>259</v>
      </c>
      <c r="C77" s="81">
        <v>22</v>
      </c>
      <c r="D77" s="120" t="s">
        <v>252</v>
      </c>
      <c r="E77" s="81">
        <v>35</v>
      </c>
      <c r="F77" s="81">
        <v>17.899999999999999</v>
      </c>
      <c r="G77" s="82">
        <f>190145/H64/1000</f>
        <v>0.25557123655913977</v>
      </c>
      <c r="H77" s="168">
        <f t="shared" si="3"/>
        <v>17.64442876344086</v>
      </c>
    </row>
    <row r="78" spans="1:16" x14ac:dyDescent="0.3">
      <c r="A78" s="122"/>
      <c r="B78" s="120" t="s">
        <v>260</v>
      </c>
      <c r="C78" s="81">
        <v>22</v>
      </c>
      <c r="D78" s="120" t="s">
        <v>252</v>
      </c>
      <c r="E78" s="81">
        <v>35</v>
      </c>
      <c r="F78" s="81">
        <v>17.899999999999999</v>
      </c>
      <c r="G78" s="82">
        <f>273221/H64/1000</f>
        <v>0.36723252688172042</v>
      </c>
      <c r="H78" s="168">
        <f t="shared" si="3"/>
        <v>17.532767473118277</v>
      </c>
    </row>
    <row r="79" spans="1:16" x14ac:dyDescent="0.3">
      <c r="A79" s="122" t="s">
        <v>164</v>
      </c>
      <c r="B79" s="123" t="s">
        <v>261</v>
      </c>
      <c r="C79" s="169"/>
      <c r="D79" s="123"/>
      <c r="E79" s="81"/>
      <c r="F79" s="81"/>
      <c r="G79" s="82"/>
      <c r="H79" s="168"/>
    </row>
    <row r="80" spans="1:16" x14ac:dyDescent="0.3">
      <c r="A80" s="122"/>
      <c r="B80" s="120" t="s">
        <v>262</v>
      </c>
      <c r="C80" s="81">
        <v>33.549999999999997</v>
      </c>
      <c r="D80" s="120" t="s">
        <v>250</v>
      </c>
      <c r="E80" s="81">
        <v>35</v>
      </c>
      <c r="F80" s="81">
        <v>9.5</v>
      </c>
      <c r="G80" s="82">
        <f>229246/H64/1000</f>
        <v>0.30812634408602152</v>
      </c>
      <c r="H80" s="168">
        <f t="shared" si="3"/>
        <v>9.1918736559139784</v>
      </c>
    </row>
    <row r="81" spans="1:9" x14ac:dyDescent="0.3">
      <c r="A81" s="122"/>
      <c r="B81" s="120" t="s">
        <v>263</v>
      </c>
      <c r="C81" s="81">
        <v>27.7</v>
      </c>
      <c r="D81" s="120" t="s">
        <v>252</v>
      </c>
      <c r="E81" s="81">
        <v>35</v>
      </c>
      <c r="F81" s="81">
        <v>9.5</v>
      </c>
      <c r="G81" s="82">
        <f>66357/H64/1000</f>
        <v>8.9189516129032254E-2</v>
      </c>
      <c r="H81" s="168">
        <f t="shared" si="3"/>
        <v>9.4108104838709679</v>
      </c>
    </row>
    <row r="82" spans="1:9" x14ac:dyDescent="0.3">
      <c r="A82" s="122"/>
      <c r="B82" s="120" t="s">
        <v>264</v>
      </c>
      <c r="C82" s="81">
        <v>18.62</v>
      </c>
      <c r="D82" s="120" t="s">
        <v>254</v>
      </c>
      <c r="E82" s="81">
        <v>35</v>
      </c>
      <c r="F82" s="81">
        <v>11.4</v>
      </c>
      <c r="G82" s="82">
        <f>285789/H64/1000</f>
        <v>0.38412499999999999</v>
      </c>
      <c r="H82" s="168">
        <f t="shared" si="3"/>
        <v>11.015875000000001</v>
      </c>
    </row>
    <row r="83" spans="1:9" x14ac:dyDescent="0.3">
      <c r="A83" s="122" t="s">
        <v>168</v>
      </c>
      <c r="B83" s="123" t="s">
        <v>265</v>
      </c>
      <c r="C83" s="169"/>
      <c r="D83" s="123"/>
      <c r="E83" s="81"/>
      <c r="F83" s="81"/>
      <c r="G83" s="82"/>
      <c r="H83" s="168"/>
    </row>
    <row r="84" spans="1:9" x14ac:dyDescent="0.3">
      <c r="A84" s="122"/>
      <c r="B84" s="120" t="s">
        <v>266</v>
      </c>
      <c r="C84" s="81">
        <v>22.5</v>
      </c>
      <c r="D84" s="120" t="s">
        <v>267</v>
      </c>
      <c r="E84" s="81">
        <v>35</v>
      </c>
      <c r="F84" s="81">
        <v>20.7</v>
      </c>
      <c r="G84" s="82">
        <f>821898/H64/1000</f>
        <v>1.1047016129032259</v>
      </c>
      <c r="H84" s="168">
        <f t="shared" si="3"/>
        <v>19.595298387096772</v>
      </c>
    </row>
    <row r="85" spans="1:9" x14ac:dyDescent="0.3">
      <c r="A85" s="122"/>
      <c r="B85" s="120" t="s">
        <v>268</v>
      </c>
      <c r="C85" s="81">
        <v>19.690000000000001</v>
      </c>
      <c r="D85" s="120" t="s">
        <v>246</v>
      </c>
      <c r="E85" s="81">
        <v>35</v>
      </c>
      <c r="F85" s="81">
        <v>20.7</v>
      </c>
      <c r="G85" s="82">
        <f>765135/H64/1000</f>
        <v>1.028407258064516</v>
      </c>
      <c r="H85" s="168">
        <f t="shared" si="3"/>
        <v>19.671592741935484</v>
      </c>
    </row>
    <row r="86" spans="1:9" x14ac:dyDescent="0.3">
      <c r="A86" s="122" t="s">
        <v>172</v>
      </c>
      <c r="B86" s="123" t="s">
        <v>269</v>
      </c>
      <c r="C86" s="169"/>
      <c r="D86" s="123"/>
      <c r="E86" s="81"/>
      <c r="F86" s="81"/>
      <c r="G86" s="82"/>
      <c r="H86" s="168"/>
    </row>
    <row r="87" spans="1:9" x14ac:dyDescent="0.3">
      <c r="A87" s="122"/>
      <c r="B87" s="120" t="s">
        <v>270</v>
      </c>
      <c r="C87" s="81">
        <v>11.2</v>
      </c>
      <c r="D87" s="120" t="s">
        <v>254</v>
      </c>
      <c r="E87" s="81">
        <v>35</v>
      </c>
      <c r="F87" s="81">
        <v>11.4</v>
      </c>
      <c r="G87" s="82">
        <f>289691/H64/1000</f>
        <v>0.38936962365591399</v>
      </c>
      <c r="H87" s="168">
        <f t="shared" si="3"/>
        <v>11.010630376344086</v>
      </c>
    </row>
    <row r="88" spans="1:9" hidden="1" x14ac:dyDescent="0.3">
      <c r="A88" s="122"/>
      <c r="B88" s="120" t="s">
        <v>271</v>
      </c>
      <c r="C88" s="81">
        <v>12.6</v>
      </c>
      <c r="D88" s="120" t="s">
        <v>254</v>
      </c>
      <c r="E88" s="81">
        <v>35</v>
      </c>
      <c r="F88" s="81">
        <v>11.4</v>
      </c>
      <c r="G88" s="82">
        <v>0</v>
      </c>
      <c r="H88" s="168">
        <f t="shared" si="3"/>
        <v>11.4</v>
      </c>
    </row>
    <row r="89" spans="1:9" x14ac:dyDescent="0.3">
      <c r="A89" s="122" t="s">
        <v>175</v>
      </c>
      <c r="B89" s="123" t="s">
        <v>272</v>
      </c>
      <c r="C89" s="169"/>
      <c r="D89" s="123"/>
      <c r="E89" s="81"/>
      <c r="F89" s="81"/>
      <c r="G89" s="82"/>
      <c r="H89" s="168">
        <f>F89-G89</f>
        <v>0</v>
      </c>
    </row>
    <row r="90" spans="1:9" x14ac:dyDescent="0.3">
      <c r="A90" s="122"/>
      <c r="B90" s="120" t="s">
        <v>273</v>
      </c>
      <c r="C90" s="81">
        <v>13.5</v>
      </c>
      <c r="D90" s="120" t="s">
        <v>252</v>
      </c>
      <c r="E90" s="81">
        <v>35</v>
      </c>
      <c r="F90" s="81">
        <v>14.4</v>
      </c>
      <c r="G90" s="82">
        <f>528648/H64/1000</f>
        <v>0.71054838709677415</v>
      </c>
      <c r="H90" s="168">
        <f t="shared" si="3"/>
        <v>13.689451612903227</v>
      </c>
    </row>
    <row r="91" spans="1:9" x14ac:dyDescent="0.3">
      <c r="A91" s="122" t="s">
        <v>178</v>
      </c>
      <c r="B91" s="123" t="s">
        <v>274</v>
      </c>
      <c r="C91" s="169"/>
      <c r="D91" s="123"/>
      <c r="E91" s="169"/>
      <c r="F91" s="81"/>
      <c r="G91" s="82"/>
      <c r="H91" s="168"/>
    </row>
    <row r="92" spans="1:9" x14ac:dyDescent="0.3">
      <c r="A92" s="122"/>
      <c r="B92" s="120" t="s">
        <v>275</v>
      </c>
      <c r="C92" s="81">
        <v>42</v>
      </c>
      <c r="D92" s="120" t="s">
        <v>246</v>
      </c>
      <c r="E92" s="81">
        <v>110</v>
      </c>
      <c r="F92" s="81">
        <v>56.5</v>
      </c>
      <c r="G92" s="82">
        <f>1864069/H64/1000</f>
        <v>2.5054690860215056</v>
      </c>
      <c r="H92" s="168">
        <f t="shared" si="3"/>
        <v>53.994530913978494</v>
      </c>
      <c r="I92" s="130" t="s">
        <v>308</v>
      </c>
    </row>
    <row r="93" spans="1:9" x14ac:dyDescent="0.3">
      <c r="A93" s="122"/>
      <c r="B93" s="120" t="s">
        <v>276</v>
      </c>
      <c r="C93" s="81">
        <v>63.2</v>
      </c>
      <c r="D93" s="120" t="s">
        <v>267</v>
      </c>
      <c r="E93" s="81">
        <v>110</v>
      </c>
      <c r="F93" s="128">
        <v>65</v>
      </c>
      <c r="G93" s="82">
        <f>231333/H64/1000</f>
        <v>0.31093145161290325</v>
      </c>
      <c r="H93" s="168">
        <f t="shared" si="3"/>
        <v>64.689068548387098</v>
      </c>
      <c r="I93" s="130" t="s">
        <v>308</v>
      </c>
    </row>
    <row r="94" spans="1:9" x14ac:dyDescent="0.3">
      <c r="A94" s="122"/>
      <c r="B94" s="120" t="s">
        <v>277</v>
      </c>
      <c r="C94" s="81">
        <v>49</v>
      </c>
      <c r="D94" s="120" t="s">
        <v>278</v>
      </c>
      <c r="E94" s="81">
        <v>35</v>
      </c>
      <c r="F94" s="81">
        <v>11.4</v>
      </c>
      <c r="G94" s="82">
        <f>147/H64/1000</f>
        <v>1.9758064516129032E-4</v>
      </c>
      <c r="H94" s="168">
        <f t="shared" si="3"/>
        <v>11.399802419354838</v>
      </c>
      <c r="I94" s="130" t="s">
        <v>308</v>
      </c>
    </row>
    <row r="95" spans="1:9" x14ac:dyDescent="0.3">
      <c r="A95" s="122" t="s">
        <v>182</v>
      </c>
      <c r="B95" s="123" t="s">
        <v>279</v>
      </c>
      <c r="C95" s="169"/>
      <c r="D95" s="123"/>
      <c r="E95" s="81"/>
      <c r="F95" s="81"/>
      <c r="G95" s="82"/>
      <c r="H95" s="168"/>
    </row>
    <row r="96" spans="1:9" x14ac:dyDescent="0.3">
      <c r="A96" s="122"/>
      <c r="B96" s="120" t="s">
        <v>280</v>
      </c>
      <c r="C96" s="81">
        <v>75.2</v>
      </c>
      <c r="D96" s="120" t="s">
        <v>252</v>
      </c>
      <c r="E96" s="81">
        <v>35</v>
      </c>
      <c r="F96" s="81">
        <v>11.4</v>
      </c>
      <c r="G96" s="82">
        <f>195043/H64/1000</f>
        <v>0.2621545698924731</v>
      </c>
      <c r="H96" s="168">
        <f t="shared" si="3"/>
        <v>11.137845430107527</v>
      </c>
    </row>
    <row r="97" spans="1:9" x14ac:dyDescent="0.3">
      <c r="A97" s="122" t="s">
        <v>185</v>
      </c>
      <c r="B97" s="123" t="s">
        <v>281</v>
      </c>
      <c r="C97" s="169"/>
      <c r="D97" s="123"/>
      <c r="E97" s="81"/>
      <c r="F97" s="81"/>
      <c r="G97" s="82"/>
      <c r="H97" s="168"/>
    </row>
    <row r="98" spans="1:9" x14ac:dyDescent="0.3">
      <c r="A98" s="122"/>
      <c r="B98" s="120" t="s">
        <v>282</v>
      </c>
      <c r="C98" s="81">
        <v>56.26</v>
      </c>
      <c r="D98" s="120" t="s">
        <v>246</v>
      </c>
      <c r="E98" s="81">
        <v>35</v>
      </c>
      <c r="F98" s="81">
        <v>56.5</v>
      </c>
      <c r="G98" s="82">
        <f>178479/H64/1000</f>
        <v>0.23989112903225807</v>
      </c>
      <c r="H98" s="168">
        <f t="shared" si="3"/>
        <v>56.260108870967741</v>
      </c>
    </row>
    <row r="99" spans="1:9" x14ac:dyDescent="0.3">
      <c r="A99" s="122"/>
      <c r="B99" s="120" t="s">
        <v>283</v>
      </c>
      <c r="C99" s="81">
        <v>75.5</v>
      </c>
      <c r="D99" s="120" t="s">
        <v>242</v>
      </c>
      <c r="E99" s="81">
        <v>110</v>
      </c>
      <c r="F99" s="81">
        <v>56.5</v>
      </c>
      <c r="G99" s="82">
        <f>636900/H64/1000</f>
        <v>0.85604838709677411</v>
      </c>
      <c r="H99" s="168">
        <f t="shared" si="3"/>
        <v>55.643951612903223</v>
      </c>
    </row>
    <row r="100" spans="1:9" x14ac:dyDescent="0.3">
      <c r="A100" s="122"/>
      <c r="B100" s="120" t="s">
        <v>284</v>
      </c>
      <c r="C100" s="81">
        <v>95.9</v>
      </c>
      <c r="D100" s="120" t="s">
        <v>278</v>
      </c>
      <c r="E100" s="81">
        <v>35</v>
      </c>
      <c r="F100" s="81">
        <v>11.4</v>
      </c>
      <c r="G100" s="82">
        <f>6888/H64/1000</f>
        <v>9.2580645161290318E-3</v>
      </c>
      <c r="H100" s="168">
        <f t="shared" si="3"/>
        <v>11.390741935483872</v>
      </c>
    </row>
    <row r="101" spans="1:9" x14ac:dyDescent="0.3">
      <c r="A101" s="122" t="s">
        <v>187</v>
      </c>
      <c r="B101" s="123" t="s">
        <v>285</v>
      </c>
      <c r="C101" s="169"/>
      <c r="D101" s="123"/>
      <c r="E101" s="81"/>
      <c r="F101" s="81"/>
      <c r="G101" s="82"/>
      <c r="H101" s="168"/>
    </row>
    <row r="102" spans="1:9" x14ac:dyDescent="0.3">
      <c r="A102" s="122"/>
      <c r="B102" s="120" t="s">
        <v>284</v>
      </c>
      <c r="C102" s="81">
        <v>43.3</v>
      </c>
      <c r="D102" s="120" t="s">
        <v>246</v>
      </c>
      <c r="E102" s="81">
        <v>35</v>
      </c>
      <c r="F102" s="81">
        <v>17.899999999999999</v>
      </c>
      <c r="G102" s="82">
        <f>110334/H64/1000</f>
        <v>0.1482983870967742</v>
      </c>
      <c r="H102" s="168">
        <f t="shared" si="3"/>
        <v>17.751701612903226</v>
      </c>
    </row>
    <row r="103" spans="1:9" x14ac:dyDescent="0.3">
      <c r="A103" s="122" t="s">
        <v>191</v>
      </c>
      <c r="B103" s="123" t="s">
        <v>286</v>
      </c>
      <c r="C103" s="169"/>
      <c r="D103" s="123"/>
      <c r="E103" s="81"/>
      <c r="F103" s="81"/>
      <c r="G103" s="82"/>
      <c r="H103" s="168"/>
    </row>
    <row r="104" spans="1:9" x14ac:dyDescent="0.3">
      <c r="A104" s="122"/>
      <c r="B104" s="120" t="s">
        <v>287</v>
      </c>
      <c r="C104" s="81">
        <v>42</v>
      </c>
      <c r="D104" s="120" t="s">
        <v>252</v>
      </c>
      <c r="E104" s="81">
        <v>35</v>
      </c>
      <c r="F104" s="81">
        <v>14.4</v>
      </c>
      <c r="G104" s="82">
        <f>0/H64/1000</f>
        <v>0</v>
      </c>
      <c r="H104" s="168">
        <f t="shared" si="3"/>
        <v>14.4</v>
      </c>
      <c r="I104" s="130" t="s">
        <v>309</v>
      </c>
    </row>
    <row r="105" spans="1:9" x14ac:dyDescent="0.3">
      <c r="A105" s="122"/>
      <c r="B105" s="120" t="s">
        <v>288</v>
      </c>
      <c r="C105" s="81">
        <v>37</v>
      </c>
      <c r="D105" s="120" t="s">
        <v>252</v>
      </c>
      <c r="E105" s="81">
        <v>35</v>
      </c>
      <c r="F105" s="81">
        <v>14.4</v>
      </c>
      <c r="G105" s="82">
        <f>23923/H64/1000</f>
        <v>3.2154569892473117E-2</v>
      </c>
      <c r="H105" s="168">
        <f t="shared" si="3"/>
        <v>14.367845430107527</v>
      </c>
    </row>
    <row r="106" spans="1:9" x14ac:dyDescent="0.3">
      <c r="A106" s="122"/>
      <c r="B106" s="120" t="s">
        <v>283</v>
      </c>
      <c r="C106" s="81"/>
      <c r="D106" s="120" t="s">
        <v>252</v>
      </c>
      <c r="E106" s="81">
        <v>35</v>
      </c>
      <c r="F106" s="81">
        <v>14.4</v>
      </c>
      <c r="G106" s="82">
        <f>461398/H64/1000</f>
        <v>0.62015860215053764</v>
      </c>
      <c r="H106" s="168">
        <f t="shared" si="3"/>
        <v>13.779841397849463</v>
      </c>
    </row>
    <row r="107" spans="1:9" x14ac:dyDescent="0.3">
      <c r="A107" s="173"/>
      <c r="B107" s="142" t="s">
        <v>289</v>
      </c>
      <c r="C107" s="143">
        <v>91</v>
      </c>
      <c r="D107" s="142" t="s">
        <v>290</v>
      </c>
      <c r="E107" s="143">
        <v>35</v>
      </c>
      <c r="F107" s="143">
        <v>17.899999999999999</v>
      </c>
      <c r="G107" s="176">
        <f>128713/H64/1000</f>
        <v>0.1730013440860215</v>
      </c>
      <c r="H107" s="174">
        <f t="shared" si="3"/>
        <v>17.726998655913977</v>
      </c>
    </row>
    <row r="108" spans="1:9" x14ac:dyDescent="0.3">
      <c r="G108" s="177">
        <f>SUM(G65:G107)</f>
        <v>33.26220161290324</v>
      </c>
    </row>
    <row r="110" spans="1:9" x14ac:dyDescent="0.3">
      <c r="G110" s="177">
        <f>G54+G108</f>
        <v>91.916481182795707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zoomScaleNormal="100" workbookViewId="0">
      <selection activeCell="E21" sqref="E21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67" customWidth="1"/>
    <col min="8" max="8" width="26.109375" style="2" customWidth="1"/>
    <col min="9" max="16384" width="9.109375" style="1"/>
  </cols>
  <sheetData>
    <row r="1" spans="1:8" x14ac:dyDescent="0.3">
      <c r="A1" s="189" t="s">
        <v>0</v>
      </c>
      <c r="B1" s="189"/>
      <c r="C1" s="189"/>
      <c r="D1" s="189"/>
      <c r="E1" s="189"/>
      <c r="F1" s="189"/>
      <c r="G1" s="189"/>
      <c r="H1" s="189"/>
    </row>
    <row r="2" spans="1:8" x14ac:dyDescent="0.3">
      <c r="A2" s="189" t="s">
        <v>1</v>
      </c>
      <c r="B2" s="189"/>
      <c r="C2" s="189"/>
      <c r="D2" s="189"/>
      <c r="E2" s="189"/>
      <c r="F2" s="189"/>
      <c r="G2" s="189"/>
      <c r="H2" s="189"/>
    </row>
    <row r="4" spans="1:8" x14ac:dyDescent="0.3">
      <c r="A4" s="189" t="s">
        <v>2</v>
      </c>
      <c r="B4" s="189"/>
      <c r="C4" s="189"/>
      <c r="D4" s="189"/>
      <c r="E4" s="189"/>
      <c r="F4" s="189"/>
      <c r="G4" s="189"/>
      <c r="H4" s="189"/>
    </row>
    <row r="6" spans="1:8" x14ac:dyDescent="0.3">
      <c r="A6" s="189" t="s">
        <v>3</v>
      </c>
      <c r="B6" s="189"/>
      <c r="C6" s="189"/>
      <c r="D6" s="189"/>
      <c r="E6" s="189"/>
      <c r="F6" s="189"/>
      <c r="G6" s="189"/>
      <c r="H6" s="189"/>
    </row>
    <row r="7" spans="1:8" x14ac:dyDescent="0.3">
      <c r="B7" s="63" t="s">
        <v>314</v>
      </c>
    </row>
    <row r="8" spans="1:8" s="4" customFormat="1" ht="46.8" x14ac:dyDescent="0.3">
      <c r="A8" s="64" t="s">
        <v>4</v>
      </c>
      <c r="B8" s="64" t="s">
        <v>5</v>
      </c>
      <c r="C8" s="64" t="s">
        <v>6</v>
      </c>
      <c r="D8" s="64" t="s">
        <v>7</v>
      </c>
      <c r="E8" s="64" t="s">
        <v>8</v>
      </c>
      <c r="F8" s="64" t="s">
        <v>9</v>
      </c>
      <c r="G8" s="3" t="s">
        <v>294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68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69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12600/744000</f>
        <v>1.6935483870967744E-2</v>
      </c>
      <c r="H11" s="16">
        <f>F11/1000-G11</f>
        <v>2.4830645161290321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8">
        <f>1934130/744000</f>
        <v>2.5996370967741935</v>
      </c>
      <c r="H12" s="33">
        <f t="shared" ref="H12:H49" si="0">F12/1000-G12</f>
        <v>13.400362903225806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1200408/744000</f>
        <v>1.6134516129032257</v>
      </c>
      <c r="H13" s="16">
        <f t="shared" si="0"/>
        <v>14.386548387096774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87">
        <f>26326/744000</f>
        <v>3.5384408602150537E-2</v>
      </c>
      <c r="H14" s="22">
        <f t="shared" si="0"/>
        <v>9.96461559139785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70">
        <f>14367/744000</f>
        <v>1.9310483870967742E-2</v>
      </c>
      <c r="H15" s="26">
        <f t="shared" si="0"/>
        <v>9.9806895161290328</v>
      </c>
    </row>
    <row r="16" spans="1:8" x14ac:dyDescent="0.3">
      <c r="A16" s="5">
        <v>5</v>
      </c>
      <c r="B16" s="6" t="s">
        <v>24</v>
      </c>
      <c r="C16" s="7" t="s">
        <v>12</v>
      </c>
      <c r="D16" s="66" t="s">
        <v>20</v>
      </c>
      <c r="E16" s="5" t="s">
        <v>21</v>
      </c>
      <c r="F16" s="7">
        <v>40000</v>
      </c>
      <c r="G16" s="68">
        <f>1600632/744000</f>
        <v>2.1513870967741937</v>
      </c>
      <c r="H16" s="30">
        <f t="shared" si="0"/>
        <v>37.848612903225806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(2600+0)/744000</f>
        <v>3.4946236559139786E-3</v>
      </c>
      <c r="H17" s="16">
        <f t="shared" si="0"/>
        <v>6.2965053763440855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28">
        <f>49530/744000</f>
        <v>6.6572580645161292E-2</v>
      </c>
      <c r="H18" s="33">
        <f>F18/1000-G18</f>
        <v>19.933427419354839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28">
        <v>0</v>
      </c>
      <c r="H19" s="33" t="s">
        <v>15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140364/744000</f>
        <v>0.18866129032258064</v>
      </c>
      <c r="H20" s="16">
        <f>F20/1000-G20</f>
        <v>9.8113387096774201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28">
        <f>22650/744000</f>
        <v>3.0443548387096776E-2</v>
      </c>
      <c r="H21" s="33">
        <f t="shared" si="0"/>
        <v>15.969556451612902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36360/744000</f>
        <v>4.8870967741935487E-2</v>
      </c>
      <c r="H22" s="16">
        <f t="shared" si="0"/>
        <v>15.951129032258065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70">
        <f>43200/744000</f>
        <v>5.8064516129032261E-2</v>
      </c>
      <c r="H23" s="26">
        <f t="shared" si="0"/>
        <v>2.4419354838709677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88">
        <f>(667288+312942)/744000</f>
        <v>1.3175134408602152</v>
      </c>
      <c r="H24" s="33">
        <f t="shared" si="0"/>
        <v>4.9824865591397849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v>0</v>
      </c>
      <c r="H25" s="16" t="s">
        <v>15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f>315000/744000</f>
        <v>0.42338709677419356</v>
      </c>
      <c r="H26" s="33">
        <f>F26/1000-G26</f>
        <v>15.576612903225806</v>
      </c>
      <c r="J26" s="1" t="s">
        <v>292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28">
        <f>289260/744000</f>
        <v>0.38879032258064516</v>
      </c>
      <c r="H27" s="16">
        <v>13.886491935483871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70">
        <f>18188/744000</f>
        <v>2.4446236559139786E-2</v>
      </c>
      <c r="H28" s="26">
        <f t="shared" si="0"/>
        <v>2.4755537634408604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70">
        <f>32164/744000</f>
        <v>4.3231182795698923E-2</v>
      </c>
      <c r="H29" s="26">
        <f t="shared" si="0"/>
        <v>2.456768817204301</v>
      </c>
      <c r="O29" s="1" t="s">
        <v>292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8">
        <f>5197416/744000</f>
        <v>6.9857741935483872</v>
      </c>
      <c r="H30" s="33">
        <f>F30/1000-G30</f>
        <v>33.014225806451613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f>638778/744000</f>
        <v>0.85857258064516129</v>
      </c>
      <c r="H31" s="16">
        <f>F31/1000-G31</f>
        <v>39.141427419354841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293</v>
      </c>
      <c r="E32" s="5" t="s">
        <v>28</v>
      </c>
      <c r="F32" s="7">
        <v>10000</v>
      </c>
      <c r="G32" s="28">
        <f>9972/744000</f>
        <v>1.3403225806451613E-2</v>
      </c>
      <c r="H32" s="33">
        <f t="shared" ref="H32" si="1">F32/1000-G32</f>
        <v>9.9865967741935489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590772/744000</f>
        <v>0.79404838709677417</v>
      </c>
      <c r="H33" s="16">
        <f t="shared" si="0"/>
        <v>9.2059516129032257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70">
        <f>190702/744000</f>
        <v>0.25631989247311826</v>
      </c>
      <c r="H34" s="26">
        <f t="shared" si="0"/>
        <v>6.0436801075268818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68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6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47200/744000</f>
        <v>6.3440860215053768E-2</v>
      </c>
      <c r="H38" s="16">
        <f t="shared" ref="H38" si="2">F38/1000-G38</f>
        <v>5.5365591397849458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70">
        <f>14628/744000</f>
        <v>1.9661290322580644E-2</v>
      </c>
      <c r="H39" s="26">
        <f t="shared" si="0"/>
        <v>0.61033870967741932</v>
      </c>
    </row>
    <row r="40" spans="1:8" x14ac:dyDescent="0.3">
      <c r="A40" s="5">
        <v>19</v>
      </c>
      <c r="B40" s="6" t="s">
        <v>51</v>
      </c>
      <c r="C40" s="7" t="s">
        <v>12</v>
      </c>
      <c r="D40" s="66" t="s">
        <v>20</v>
      </c>
      <c r="E40" s="5" t="s">
        <v>26</v>
      </c>
      <c r="F40" s="7">
        <v>2500</v>
      </c>
      <c r="G40" s="28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17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70">
        <f>65675/744000</f>
        <v>8.8272849462365591E-2</v>
      </c>
      <c r="H42" s="26">
        <f t="shared" si="0"/>
        <v>1.5117271505376344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70">
        <f>27071/744000</f>
        <v>3.6385752688172041E-2</v>
      </c>
      <c r="H43" s="26">
        <f t="shared" si="0"/>
        <v>6.2636142473118275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67476/744000</f>
        <v>9.069354838709677E-2</v>
      </c>
      <c r="H44" s="28">
        <f>F44/1000-G44</f>
        <v>3.909306451612903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1986/744000</f>
        <v>2.6693548387096773E-3</v>
      </c>
      <c r="H46" s="28">
        <f>F46/1000-G46</f>
        <v>3.9973306451612904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207642/744000</f>
        <v>0.27908870967741933</v>
      </c>
      <c r="H47" s="17">
        <f>F47/1000-G47</f>
        <v>3.7209112903225807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70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70">
        <f>39454/744000</f>
        <v>5.3029569892473115E-2</v>
      </c>
      <c r="H49" s="26">
        <f t="shared" si="0"/>
        <v>0.94697043010752691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70">
        <v>0</v>
      </c>
      <c r="H50" s="26" t="s">
        <v>15</v>
      </c>
    </row>
    <row r="51" spans="1:10" x14ac:dyDescent="0.3">
      <c r="A51" s="71"/>
      <c r="B51" s="72"/>
      <c r="C51" s="72"/>
      <c r="D51" s="72"/>
      <c r="E51" s="71"/>
      <c r="F51" s="72"/>
    </row>
    <row r="52" spans="1:10" x14ac:dyDescent="0.3">
      <c r="A52" s="190" t="s">
        <v>66</v>
      </c>
      <c r="B52" s="190"/>
      <c r="C52" s="190"/>
      <c r="D52" s="190"/>
      <c r="E52" s="190"/>
      <c r="F52" s="190"/>
      <c r="G52" s="190"/>
      <c r="H52" s="190"/>
    </row>
    <row r="53" spans="1:10" x14ac:dyDescent="0.3">
      <c r="A53" s="71"/>
      <c r="B53" s="72"/>
      <c r="C53" s="72"/>
      <c r="D53" s="72"/>
      <c r="E53" s="71"/>
      <c r="F53" s="72"/>
    </row>
    <row r="54" spans="1:10" ht="62.4" x14ac:dyDescent="0.3">
      <c r="A54" s="73" t="s">
        <v>4</v>
      </c>
      <c r="B54" s="73" t="s">
        <v>67</v>
      </c>
      <c r="C54" s="73" t="s">
        <v>68</v>
      </c>
      <c r="D54" s="73" t="s">
        <v>69</v>
      </c>
      <c r="E54" s="73" t="s">
        <v>8</v>
      </c>
      <c r="F54" s="73" t="s">
        <v>70</v>
      </c>
      <c r="G54" s="3" t="s">
        <v>294</v>
      </c>
      <c r="H54" s="3" t="s">
        <v>10</v>
      </c>
    </row>
    <row r="55" spans="1:10" x14ac:dyDescent="0.3">
      <c r="A55" s="23"/>
      <c r="B55" s="74" t="s">
        <v>71</v>
      </c>
      <c r="C55" s="24"/>
      <c r="D55" s="21"/>
      <c r="E55" s="74"/>
      <c r="F55" s="21"/>
      <c r="G55" s="70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69">
        <f>5494324/744000</f>
        <v>7.3848440860215057</v>
      </c>
      <c r="H56" s="37">
        <f t="shared" ref="H56:H108" si="3">F56-G56</f>
        <v>58.268655913978492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69">
        <f>2278606/744000</f>
        <v>3.0626424731182795</v>
      </c>
      <c r="H57" s="37">
        <f t="shared" si="3"/>
        <v>85.470107526881719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69">
        <f>1511206/744000</f>
        <v>2.0311908602150539</v>
      </c>
      <c r="H58" s="37">
        <f t="shared" si="3"/>
        <v>86.501559139784945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312</v>
      </c>
      <c r="E59" s="11">
        <v>110</v>
      </c>
      <c r="F59" s="37">
        <f>1.73*115*445/1000</f>
        <v>88.532749999999993</v>
      </c>
      <c r="G59" s="69">
        <f>4338035/744000</f>
        <v>5.8306922043010756</v>
      </c>
      <c r="H59" s="37">
        <f t="shared" si="3"/>
        <v>82.70205779569892</v>
      </c>
      <c r="J59" s="1" t="s">
        <v>292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312</v>
      </c>
      <c r="E60" s="11">
        <v>110</v>
      </c>
      <c r="F60" s="37">
        <f>1.73*115*445/1000</f>
        <v>88.532749999999993</v>
      </c>
      <c r="G60" s="69">
        <f>2236197/744000</f>
        <v>3.005641129032258</v>
      </c>
      <c r="H60" s="37">
        <f t="shared" si="3"/>
        <v>85.527108870967737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69">
        <f>261560/744000</f>
        <v>0.35155913978494624</v>
      </c>
      <c r="H61" s="37">
        <f t="shared" si="3"/>
        <v>88.181190860215054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69">
        <f>1936040/744000</f>
        <v>2.6022043010752687</v>
      </c>
      <c r="H62" s="37">
        <f t="shared" si="3"/>
        <v>72.998795698924724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69">
        <f>9062434/744000</f>
        <v>12.180690860215053</v>
      </c>
      <c r="H63" s="37">
        <f t="shared" si="3"/>
        <v>89.28380913978495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28">
        <f>2345210/744000</f>
        <v>3.1521639784946238</v>
      </c>
      <c r="H64" s="61">
        <f t="shared" si="3"/>
        <v>98.312336021505374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69">
        <f>686776/744000</f>
        <v>0.92308602150537633</v>
      </c>
      <c r="H65" s="175">
        <f t="shared" si="3"/>
        <v>74.67791397849463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7">
        <f>83037/744000</f>
        <v>0.11160887096774194</v>
      </c>
      <c r="H66" s="43">
        <f t="shared" si="3"/>
        <v>11.090141129032258</v>
      </c>
    </row>
    <row r="67" spans="1:8" x14ac:dyDescent="0.3">
      <c r="A67" s="23"/>
      <c r="B67" s="74" t="s">
        <v>83</v>
      </c>
      <c r="C67" s="44"/>
      <c r="D67" s="45"/>
      <c r="E67" s="74"/>
      <c r="F67" s="75"/>
      <c r="G67" s="70"/>
      <c r="H67" s="75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88">
        <f>53198/744000</f>
        <v>7.1502688172043014E-2</v>
      </c>
      <c r="H68" s="65">
        <f t="shared" si="3"/>
        <v>75.529497311827953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69">
        <v>0</v>
      </c>
      <c r="H69" s="65">
        <f t="shared" si="3"/>
        <v>75.600999999999999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976868/744000</f>
        <v>1.312994623655914</v>
      </c>
      <c r="H70" s="43">
        <f t="shared" si="3"/>
        <v>74.288005376344088</v>
      </c>
    </row>
    <row r="71" spans="1:8" x14ac:dyDescent="0.3">
      <c r="A71" s="23"/>
      <c r="B71" s="74" t="s">
        <v>87</v>
      </c>
      <c r="C71" s="47"/>
      <c r="D71" s="45"/>
      <c r="E71" s="74"/>
      <c r="F71" s="75"/>
      <c r="G71" s="70"/>
      <c r="H71" s="75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88">
        <f>6734439/744000</f>
        <v>9.0516653225806447</v>
      </c>
      <c r="H72" s="51">
        <f t="shared" si="3"/>
        <v>92.412834677419355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1262066/744000</f>
        <v>1.6963252688172044</v>
      </c>
      <c r="H73" s="43">
        <f t="shared" si="3"/>
        <v>15.266324731182795</v>
      </c>
    </row>
    <row r="74" spans="1:8" x14ac:dyDescent="0.3">
      <c r="A74" s="23"/>
      <c r="B74" s="74" t="s">
        <v>90</v>
      </c>
      <c r="C74" s="44"/>
      <c r="D74" s="45"/>
      <c r="E74" s="74"/>
      <c r="F74" s="75"/>
      <c r="G74" s="70"/>
      <c r="H74" s="75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68">
        <f>25155/744000</f>
        <v>3.3810483870967745E-2</v>
      </c>
      <c r="H75" s="36">
        <f t="shared" si="3"/>
        <v>21.089489516129035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69">
        <f>829306/744000</f>
        <v>1.1146586021505376</v>
      </c>
      <c r="H76" s="37">
        <f t="shared" si="3"/>
        <v>15.847991397849462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1">
        <f t="shared" si="3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69">
        <f>16/744000</f>
        <v>2.150537634408602E-5</v>
      </c>
      <c r="H78" s="37">
        <f t="shared" si="3"/>
        <v>16.962628494623655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87">
        <f>34356/744000</f>
        <v>4.6177419354838711E-2</v>
      </c>
      <c r="H79" s="62">
        <f t="shared" si="3"/>
        <v>21.077122580645167</v>
      </c>
    </row>
    <row r="80" spans="1:8" x14ac:dyDescent="0.3">
      <c r="A80" s="23"/>
      <c r="B80" s="74" t="s">
        <v>96</v>
      </c>
      <c r="C80" s="47"/>
      <c r="D80" s="45"/>
      <c r="E80" s="74"/>
      <c r="F80" s="75"/>
      <c r="G80" s="70"/>
      <c r="H80" s="75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70">
        <v>0</v>
      </c>
      <c r="H81" s="50" t="s">
        <v>15</v>
      </c>
    </row>
    <row r="82" spans="1:8" hidden="1" x14ac:dyDescent="0.3">
      <c r="A82" s="23"/>
      <c r="B82" s="74" t="s">
        <v>98</v>
      </c>
      <c r="C82" s="47"/>
      <c r="D82" s="45"/>
      <c r="E82" s="74"/>
      <c r="F82" s="75"/>
      <c r="G82" s="70"/>
      <c r="H82" s="75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70">
        <v>0</v>
      </c>
      <c r="H83" s="50" t="s">
        <v>15</v>
      </c>
    </row>
    <row r="84" spans="1:8" x14ac:dyDescent="0.3">
      <c r="A84" s="23"/>
      <c r="B84" s="74" t="s">
        <v>100</v>
      </c>
      <c r="C84" s="47"/>
      <c r="D84" s="45"/>
      <c r="E84" s="74"/>
      <c r="F84" s="75"/>
      <c r="G84" s="70"/>
      <c r="H84" s="75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88">
        <f>21814/744000</f>
        <v>2.9319892473118281E-2</v>
      </c>
      <c r="H85" s="37">
        <f t="shared" si="3"/>
        <v>75.571680107526888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69">
        <f>1995840/744000</f>
        <v>2.6825806451612904</v>
      </c>
      <c r="H86" s="37">
        <f t="shared" si="3"/>
        <v>98.781919354838706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1044698/744000</f>
        <v>1.4041639784946236</v>
      </c>
      <c r="H87" s="43">
        <f t="shared" si="3"/>
        <v>12.037936021505377</v>
      </c>
    </row>
    <row r="88" spans="1:8" x14ac:dyDescent="0.3">
      <c r="A88" s="23"/>
      <c r="B88" s="74" t="s">
        <v>103</v>
      </c>
      <c r="C88" s="44"/>
      <c r="D88" s="45"/>
      <c r="E88" s="74"/>
      <c r="F88" s="75"/>
      <c r="G88" s="70"/>
      <c r="H88" s="75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88">
        <f>3128664/744000</f>
        <v>4.205193548387097</v>
      </c>
      <c r="H89" s="51">
        <f>F89-G89</f>
        <v>71.395806451612899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f>641270/744000</f>
        <v>0.8619220430107527</v>
      </c>
      <c r="H90" s="43">
        <f>F90-G90</f>
        <v>16.100727956989246</v>
      </c>
    </row>
    <row r="91" spans="1:8" x14ac:dyDescent="0.3">
      <c r="A91" s="23"/>
      <c r="B91" s="74" t="s">
        <v>106</v>
      </c>
      <c r="C91" s="47"/>
      <c r="D91" s="45"/>
      <c r="E91" s="74"/>
      <c r="F91" s="75"/>
      <c r="G91" s="70"/>
      <c r="H91" s="75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70">
        <f>100328/744000</f>
        <v>0.13484946236559139</v>
      </c>
      <c r="H92" s="49">
        <f t="shared" si="3"/>
        <v>16.82780053763441</v>
      </c>
    </row>
    <row r="93" spans="1:8" x14ac:dyDescent="0.3">
      <c r="A93" s="23"/>
      <c r="B93" s="74" t="s">
        <v>108</v>
      </c>
      <c r="C93" s="47"/>
      <c r="D93" s="45"/>
      <c r="E93" s="74"/>
      <c r="F93" s="75"/>
      <c r="G93" s="70"/>
      <c r="H93" s="75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70">
        <f>1523813/744000</f>
        <v>2.0481357526881721</v>
      </c>
      <c r="H94" s="49">
        <f t="shared" si="3"/>
        <v>14.914514247311828</v>
      </c>
    </row>
    <row r="95" spans="1:8" x14ac:dyDescent="0.3">
      <c r="A95" s="23"/>
      <c r="B95" s="74" t="s">
        <v>111</v>
      </c>
      <c r="C95" s="44"/>
      <c r="D95" s="45"/>
      <c r="E95" s="74"/>
      <c r="F95" s="75"/>
      <c r="G95" s="70"/>
      <c r="H95" s="75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68">
        <f>3795/744000</f>
        <v>5.1008064516129036E-3</v>
      </c>
      <c r="H96" s="36">
        <f t="shared" si="3"/>
        <v>16.957549193548388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65675/744000</f>
        <v>8.8272849462365591E-2</v>
      </c>
      <c r="H97" s="43">
        <f t="shared" si="3"/>
        <v>21.035027150537637</v>
      </c>
    </row>
    <row r="98" spans="1:8" x14ac:dyDescent="0.3">
      <c r="A98" s="23"/>
      <c r="B98" s="74" t="s">
        <v>114</v>
      </c>
      <c r="C98" s="54"/>
      <c r="D98" s="55"/>
      <c r="E98" s="74"/>
      <c r="F98" s="75"/>
      <c r="G98" s="70"/>
      <c r="H98" s="75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70">
        <f>14628/744000</f>
        <v>1.9661290322580644E-2</v>
      </c>
      <c r="H99" s="49">
        <f t="shared" si="3"/>
        <v>16.942988709677419</v>
      </c>
    </row>
    <row r="100" spans="1:8" x14ac:dyDescent="0.3">
      <c r="A100" s="23"/>
      <c r="B100" s="74" t="s">
        <v>116</v>
      </c>
      <c r="C100" s="54"/>
      <c r="D100" s="55"/>
      <c r="E100" s="74"/>
      <c r="F100" s="75"/>
      <c r="G100" s="70"/>
      <c r="H100" s="75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70">
        <f>139363/744000</f>
        <v>0.18731586021505375</v>
      </c>
      <c r="H101" s="49">
        <f t="shared" si="3"/>
        <v>20.935984139784949</v>
      </c>
    </row>
    <row r="102" spans="1:8" x14ac:dyDescent="0.3">
      <c r="A102" s="23"/>
      <c r="B102" s="74" t="s">
        <v>118</v>
      </c>
      <c r="C102" s="54"/>
      <c r="D102" s="55"/>
      <c r="E102" s="74"/>
      <c r="F102" s="75"/>
      <c r="G102" s="70"/>
      <c r="H102" s="75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68">
        <f>65058/744000</f>
        <v>8.7443548387096781E-2</v>
      </c>
      <c r="H103" s="36">
        <f t="shared" si="3"/>
        <v>16.875206451612904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69">
        <f>50050/744000</f>
        <v>6.727150537634409E-2</v>
      </c>
      <c r="H104" s="61">
        <f t="shared" si="3"/>
        <v>16.895378494623657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69">
        <f>742308/744000</f>
        <v>0.99772580645161291</v>
      </c>
      <c r="H105" s="61">
        <f t="shared" si="3"/>
        <v>15.964924193548388</v>
      </c>
    </row>
    <row r="106" spans="1:8" x14ac:dyDescent="0.3">
      <c r="A106" s="23"/>
      <c r="B106" s="74" t="s">
        <v>122</v>
      </c>
      <c r="C106" s="54"/>
      <c r="D106" s="55"/>
      <c r="E106" s="74"/>
      <c r="F106" s="75"/>
      <c r="G106" s="70"/>
      <c r="H106" s="75"/>
    </row>
    <row r="107" spans="1:8" x14ac:dyDescent="0.3">
      <c r="A107" s="5">
        <v>38</v>
      </c>
      <c r="B107" s="6" t="s">
        <v>123</v>
      </c>
      <c r="C107" s="56">
        <v>40.75</v>
      </c>
      <c r="D107" s="57">
        <v>70</v>
      </c>
      <c r="E107" s="7">
        <v>35</v>
      </c>
      <c r="F107" s="36">
        <f>1.73*37*265/1000</f>
        <v>16.96265</v>
      </c>
      <c r="G107" s="68">
        <f>128247/744000</f>
        <v>0.172375</v>
      </c>
      <c r="H107" s="36">
        <f t="shared" si="3"/>
        <v>16.790275000000001</v>
      </c>
    </row>
    <row r="108" spans="1:8" x14ac:dyDescent="0.3">
      <c r="A108" s="13">
        <v>39</v>
      </c>
      <c r="B108" s="14" t="s">
        <v>124</v>
      </c>
      <c r="C108" s="52">
        <v>38.14</v>
      </c>
      <c r="D108" s="53">
        <v>120</v>
      </c>
      <c r="E108" s="15">
        <v>35</v>
      </c>
      <c r="F108" s="43">
        <f>1.73*37*380/1000</f>
        <v>24.323800000000002</v>
      </c>
      <c r="G108" s="17">
        <f>125706/744000</f>
        <v>0.16895967741935483</v>
      </c>
      <c r="H108" s="43">
        <f t="shared" si="3"/>
        <v>24.154840322580647</v>
      </c>
    </row>
  </sheetData>
  <mergeCells count="5">
    <mergeCell ref="A1:H1"/>
    <mergeCell ref="A2:H2"/>
    <mergeCell ref="A4:H4"/>
    <mergeCell ref="A6:H6"/>
    <mergeCell ref="A52:H5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май 2026г.</vt:lpstr>
      <vt:lpstr>БЭУ за май 2026г.</vt:lpstr>
      <vt:lpstr>'БЭУ за май 2026г.'!Область_печати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cp:lastPrinted>2026-04-29T09:33:15Z</cp:lastPrinted>
  <dcterms:created xsi:type="dcterms:W3CDTF">2022-09-13T10:28:24Z</dcterms:created>
  <dcterms:modified xsi:type="dcterms:W3CDTF">2026-06-12T04:06:14Z</dcterms:modified>
</cp:coreProperties>
</file>