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ЖЭУ  за август 2021г.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Токешева</author>
  </authors>
  <commentList>
    <comment ref="G100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Никольская-Сары Кенгир от кегок цифра в ведомости сарыкенир
</t>
        </r>
      </text>
    </comment>
    <comment ref="G22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ВЛ-110кВ Центр 110
</t>
        </r>
      </text>
    </comment>
    <comment ref="G47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ввод-6кВ Т-1 ЯЧ.3
</t>
        </r>
      </text>
    </comment>
    <comment ref="G50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ФОРПОСТ</t>
        </r>
      </text>
    </comment>
    <comment ref="G52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ВЕСТ 
</t>
        </r>
      </text>
    </comment>
    <comment ref="G53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ОРКЕН</t>
        </r>
      </text>
    </comment>
    <comment ref="G24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110 КВ ПР</t>
        </r>
      </text>
    </comment>
    <comment ref="G34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Барсенгир 220
</t>
        </r>
      </text>
    </comment>
    <comment ref="G94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расход по сч</t>
        </r>
      </text>
    </comment>
    <comment ref="G26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110 КВ ПР</t>
        </r>
      </text>
    </comment>
    <comment ref="G49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ввод-35кВ Т-2 ЯЧ.14
</t>
        </r>
      </text>
    </comment>
    <comment ref="G46" authorId="0">
      <text>
        <r>
          <rPr>
            <b/>
            <sz val="9"/>
            <rFont val="Tahoma"/>
            <family val="0"/>
          </rPr>
          <t>Токешева:</t>
        </r>
        <r>
          <rPr>
            <sz val="9"/>
            <rFont val="Tahoma"/>
            <family val="0"/>
          </rPr>
          <t xml:space="preserve">
Ввод-6кв Т-№1 яч.5
</t>
        </r>
      </text>
    </comment>
    <comment ref="G75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143 минус кумколь 5
</t>
        </r>
      </text>
    </comment>
  </commentList>
</comments>
</file>

<file path=xl/sharedStrings.xml><?xml version="1.0" encoding="utf-8"?>
<sst xmlns="http://schemas.openxmlformats.org/spreadsheetml/2006/main" count="253" uniqueCount="182">
  <si>
    <t>мощность</t>
  </si>
  <si>
    <t>трансформатора</t>
  </si>
  <si>
    <t>№</t>
  </si>
  <si>
    <t>1.</t>
  </si>
  <si>
    <t>ПС- 220кВ</t>
  </si>
  <si>
    <t>ПС- 110кВ</t>
  </si>
  <si>
    <t>2.</t>
  </si>
  <si>
    <t>3.</t>
  </si>
  <si>
    <t>4.</t>
  </si>
  <si>
    <t>5.</t>
  </si>
  <si>
    <t>6.</t>
  </si>
  <si>
    <t>7.</t>
  </si>
  <si>
    <t>8.</t>
  </si>
  <si>
    <t>9.</t>
  </si>
  <si>
    <t>ПС-35кВ</t>
  </si>
  <si>
    <t>10.</t>
  </si>
  <si>
    <t>11.</t>
  </si>
  <si>
    <t>Каражальский  РЭС</t>
  </si>
  <si>
    <t>12.</t>
  </si>
  <si>
    <t>13.</t>
  </si>
  <si>
    <t>14.</t>
  </si>
  <si>
    <t>ПС-110кВ</t>
  </si>
  <si>
    <t>15.</t>
  </si>
  <si>
    <t>16.</t>
  </si>
  <si>
    <t>17.</t>
  </si>
  <si>
    <t>18.</t>
  </si>
  <si>
    <t>19.</t>
  </si>
  <si>
    <t>20.</t>
  </si>
  <si>
    <t>21.</t>
  </si>
  <si>
    <t xml:space="preserve">Центральный  РЭС  </t>
  </si>
  <si>
    <t>22.</t>
  </si>
  <si>
    <t>I.</t>
  </si>
  <si>
    <t>II.</t>
  </si>
  <si>
    <t>откл.</t>
  </si>
  <si>
    <t>Ж Е З К А З Г А Н С К И Й     Э Н Е Р О У З Е Л</t>
  </si>
  <si>
    <t>-</t>
  </si>
  <si>
    <t>кВ</t>
  </si>
  <si>
    <t>Нура-Талды  110/35/10кВ</t>
  </si>
  <si>
    <t>Наименование  ПС</t>
  </si>
  <si>
    <t>КВА</t>
  </si>
  <si>
    <t>МВт</t>
  </si>
  <si>
    <t>220/110/10кВ Барсенгир</t>
  </si>
  <si>
    <t>110/35/10кВ Сары-Кенгир</t>
  </si>
  <si>
    <t>110/35/10кВ Городская</t>
  </si>
  <si>
    <t xml:space="preserve">110/35/6кВ Актас  </t>
  </si>
  <si>
    <t xml:space="preserve">110/35/6кВ Центральная </t>
  </si>
  <si>
    <t xml:space="preserve">110/10кВ "Д" </t>
  </si>
  <si>
    <t>110/6кВ Кумколь-1</t>
  </si>
  <si>
    <t xml:space="preserve">110/35/10кВ Улытау  </t>
  </si>
  <si>
    <t xml:space="preserve">35/10кВ Талап </t>
  </si>
  <si>
    <t xml:space="preserve">35/10кВ Урожайная  </t>
  </si>
  <si>
    <t xml:space="preserve">35/10кВ Копколь </t>
  </si>
  <si>
    <t xml:space="preserve">220/35/6кВ Жайрем </t>
  </si>
  <si>
    <t xml:space="preserve">220/35/10кВЖана-Арка </t>
  </si>
  <si>
    <t xml:space="preserve">220/35/6кВ Каражальская </t>
  </si>
  <si>
    <t xml:space="preserve">35/6кВ Клыч  </t>
  </si>
  <si>
    <t xml:space="preserve">35/6кВ Ктай  </t>
  </si>
  <si>
    <t xml:space="preserve">35/10кВ Кзыл-Жар  </t>
  </si>
  <si>
    <t xml:space="preserve">35/6кВ Уш-Шокы </t>
  </si>
  <si>
    <t>35/10кВ</t>
  </si>
  <si>
    <t>АТ-1</t>
  </si>
  <si>
    <t>АТ-2</t>
  </si>
  <si>
    <t>Т-1</t>
  </si>
  <si>
    <t>Т-2</t>
  </si>
  <si>
    <t>Т-3</t>
  </si>
  <si>
    <t>Т-4</t>
  </si>
  <si>
    <t>110/35/6кВ</t>
  </si>
  <si>
    <t xml:space="preserve">110/10кВ ГПП-1 </t>
  </si>
  <si>
    <t xml:space="preserve">35/0,4кВ Скважина №250  </t>
  </si>
  <si>
    <t xml:space="preserve">35/0,4кВ Скважина №701 </t>
  </si>
  <si>
    <t>10,5*105%=11,1кВ</t>
  </si>
  <si>
    <t>6,3*105%=6,62кВ</t>
  </si>
  <si>
    <t>Лето не выше 100%</t>
  </si>
  <si>
    <t>10,5кВ</t>
  </si>
  <si>
    <t>6,3кВ</t>
  </si>
  <si>
    <t>231,4/112,3/11,1</t>
  </si>
  <si>
    <t>231,8/112,4/11,1</t>
  </si>
  <si>
    <t>115,3/34,9/11,1</t>
  </si>
  <si>
    <t>110,9/6,62</t>
  </si>
  <si>
    <t>111,0/6,62</t>
  </si>
  <si>
    <t>110,8/33,9/11,1</t>
  </si>
  <si>
    <t>33,9/11,1</t>
  </si>
  <si>
    <t>121,2/36,6/6,62</t>
  </si>
  <si>
    <t>115,7/35,8/6,62</t>
  </si>
  <si>
    <t>116,7/35,4/11,1</t>
  </si>
  <si>
    <t>35,3/11,1</t>
  </si>
  <si>
    <t>228,5/35,2/6,62</t>
  </si>
  <si>
    <t>227,5/35,2/6,62</t>
  </si>
  <si>
    <t>234,5/34,1/11,1</t>
  </si>
  <si>
    <t>225,3/35,4/11,1</t>
  </si>
  <si>
    <t>225,4/34,0/6,62</t>
  </si>
  <si>
    <t>227,0/34,4/6,62</t>
  </si>
  <si>
    <t>128,1/33,9</t>
  </si>
  <si>
    <t>128,1/34,4</t>
  </si>
  <si>
    <t>128,1/11,1</t>
  </si>
  <si>
    <t>34,6/6,62</t>
  </si>
  <si>
    <t>33,9/6,62</t>
  </si>
  <si>
    <t>35,2/11,1</t>
  </si>
  <si>
    <t>Приложение №2</t>
  </si>
  <si>
    <t>Форма</t>
  </si>
  <si>
    <t>Информация о пропускной способности энергопередающей организации</t>
  </si>
  <si>
    <t>Таблица №1</t>
  </si>
  <si>
    <t>№ ввода</t>
  </si>
  <si>
    <t>Адрес</t>
  </si>
  <si>
    <t>нахождения</t>
  </si>
  <si>
    <t>Уровень</t>
  </si>
  <si>
    <t>напряжения</t>
  </si>
  <si>
    <t>Загрузка,</t>
  </si>
  <si>
    <t>Свободная</t>
  </si>
  <si>
    <t>АО "Жезказгансая РЭК"</t>
  </si>
  <si>
    <t>ТАБЛИЦА  2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</si>
  <si>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</si>
  <si>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</si>
  <si>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</si>
  <si>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</si>
  <si>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</si>
  <si>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</si>
  <si>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</si>
  <si>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</si>
  <si>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</si>
  <si>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</si>
  <si>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</si>
  <si>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</si>
  <si>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</si>
  <si>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</si>
  <si>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</si>
  <si>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</si>
  <si>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</si>
  <si>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</si>
  <si>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</si>
  <si>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</si>
  <si>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</si>
  <si>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</si>
  <si>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</si>
  <si>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</si>
  <si>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</si>
  <si>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</si>
  <si>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</si>
  <si>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</si>
  <si>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</si>
  <si>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</si>
  <si>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</si>
  <si>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</si>
  <si>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</si>
  <si>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</si>
  <si>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</si>
  <si>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</si>
  <si>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</si>
  <si>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</si>
  <si>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</si>
  <si>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</si>
  <si>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</si>
  <si>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</si>
  <si>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</si>
  <si>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</si>
  <si>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</si>
  <si>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</si>
  <si>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</si>
  <si>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</si>
  <si>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</si>
  <si>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</si>
  <si>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</si>
  <si>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</si>
  <si>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</si>
  <si>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</si>
  <si>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</si>
  <si>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</si>
  <si>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</si>
  <si>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</si>
  <si>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</si>
  <si>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</si>
  <si>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</si>
  <si>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</si>
  <si>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</si>
  <si>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</si>
  <si>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</si>
  <si>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Мощность</t>
  </si>
  <si>
    <t>Ввод110</t>
  </si>
  <si>
    <t>10кВ</t>
  </si>
  <si>
    <t>в папке Нура Талды (Кызылгой по 110кВ</t>
  </si>
  <si>
    <t>Предельно-допустимые нагрузки на транзитные линии 35-110кВ</t>
  </si>
  <si>
    <t>за август 2021г.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</si>
</sst>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00"/>
    <numFmt numFmtId="167" formatCode="0.0%"/>
    <numFmt numFmtId="168" formatCode="0.00000"/>
    <numFmt numFmtId="169" formatCode="0.0000"/>
    <numFmt numFmtId="170" formatCode="0.0000000"/>
    <numFmt numFmtId="171" formatCode="0.00000000"/>
    <numFmt numFmtId="172" formatCode="0.000000"/>
    <numFmt numFmtId="173" formatCode="0.000000000"/>
    <numFmt numFmtId="174" formatCode="0.0000000000"/>
    <numFmt numFmtId="175" formatCode="_-* #,##0.0_р_._-;\-* #,##0.0_р_._-;_-* &quot;-&quot;_р_._-;_-@_-"/>
    <numFmt numFmtId="176" formatCode="0.000%"/>
    <numFmt numFmtId="177" formatCode="0.000;[Red]0.000"/>
    <numFmt numFmtId="178" formatCode="0.00;[Red]0.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5"/>
      <name val="Times New Roman"/>
      <family val="1"/>
    </font>
    <font>
      <sz val="1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10"/>
      <name val="Arial Cyr"/>
      <family val="0"/>
    </font>
    <font>
      <b/>
      <sz val="12"/>
      <color indexed="30"/>
      <name val="Times New Roman"/>
      <family val="1"/>
    </font>
    <font>
      <sz val="10"/>
      <color indexed="44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FF0000"/>
      <name val="Arial Cyr"/>
      <family val="0"/>
    </font>
    <font>
      <b/>
      <sz val="12"/>
      <color rgb="FF0070C0"/>
      <name val="Times New Roman"/>
      <family val="1"/>
    </font>
    <font>
      <sz val="10"/>
      <color theme="3" tint="0.5999900102615356"/>
      <name val="Arial Cyr"/>
      <family val="0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165" fontId="0" fillId="0" borderId="22" xfId="0" applyNumberForma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165" fontId="0" fillId="0" borderId="25" xfId="0" applyNumberForma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0" fillId="0" borderId="28" xfId="0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33" borderId="35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53" fillId="0" borderId="0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53" fillId="0" borderId="12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5" fillId="0" borderId="0" xfId="0" applyFont="1" applyFill="1" applyAlignment="1">
      <alignment horizontal="left" indent="7"/>
    </xf>
    <xf numFmtId="0" fontId="3" fillId="0" borderId="0" xfId="0" applyFont="1" applyAlignment="1">
      <alignment horizontal="left" indent="7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544</xdr:row>
      <xdr:rowOff>0</xdr:rowOff>
    </xdr:from>
    <xdr:to>
      <xdr:col>7</xdr:col>
      <xdr:colOff>0</xdr:colOff>
      <xdr:row>544</xdr:row>
      <xdr:rowOff>0</xdr:rowOff>
    </xdr:to>
    <xdr:sp>
      <xdr:nvSpPr>
        <xdr:cNvPr id="1" name="Line 38"/>
        <xdr:cNvSpPr>
          <a:spLocks/>
        </xdr:cNvSpPr>
      </xdr:nvSpPr>
      <xdr:spPr>
        <a:xfrm>
          <a:off x="85725" y="92735400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544</xdr:row>
      <xdr:rowOff>0</xdr:rowOff>
    </xdr:from>
    <xdr:to>
      <xdr:col>7</xdr:col>
      <xdr:colOff>0</xdr:colOff>
      <xdr:row>544</xdr:row>
      <xdr:rowOff>0</xdr:rowOff>
    </xdr:to>
    <xdr:sp>
      <xdr:nvSpPr>
        <xdr:cNvPr id="2" name="Line 39"/>
        <xdr:cNvSpPr>
          <a:spLocks/>
        </xdr:cNvSpPr>
      </xdr:nvSpPr>
      <xdr:spPr>
        <a:xfrm>
          <a:off x="85725" y="92735400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zoomScaleSheetLayoutView="135" workbookViewId="0" topLeftCell="A100">
      <selection activeCell="F122" sqref="F122"/>
    </sheetView>
  </sheetViews>
  <sheetFormatPr defaultColWidth="9.00390625" defaultRowHeight="12.75"/>
  <cols>
    <col min="1" max="1" width="3.75390625" style="9" customWidth="1"/>
    <col min="2" max="2" width="26.625" style="9" customWidth="1"/>
    <col min="3" max="3" width="9.25390625" style="9" customWidth="1"/>
    <col min="4" max="4" width="11.125" style="9" customWidth="1"/>
    <col min="5" max="5" width="17.625" style="13" customWidth="1"/>
    <col min="6" max="6" width="14.25390625" style="9" customWidth="1"/>
    <col min="7" max="7" width="12.125" style="1" customWidth="1"/>
    <col min="8" max="8" width="12.25390625" style="2" customWidth="1"/>
    <col min="9" max="9" width="11.875" style="2" customWidth="1"/>
    <col min="10" max="13" width="9.125" style="2" hidden="1" customWidth="1"/>
    <col min="14" max="16" width="9.125" style="2" customWidth="1"/>
    <col min="17" max="19" width="9.125" style="2" hidden="1" customWidth="1"/>
    <col min="20" max="34" width="9.125" style="2" customWidth="1"/>
  </cols>
  <sheetData>
    <row r="1" spans="3:20" ht="23.25" customHeight="1">
      <c r="C1" s="10"/>
      <c r="D1" s="10"/>
      <c r="E1" s="7"/>
      <c r="F1" s="23"/>
      <c r="G1" s="91"/>
      <c r="H1" s="23" t="s">
        <v>98</v>
      </c>
      <c r="I1" s="8"/>
      <c r="R1" s="5" t="s">
        <v>70</v>
      </c>
      <c r="S1" s="6"/>
      <c r="T1" s="6"/>
    </row>
    <row r="2" spans="2:20" ht="18.75">
      <c r="B2" s="11"/>
      <c r="C2" s="12"/>
      <c r="D2" s="12"/>
      <c r="F2" s="18"/>
      <c r="G2" s="92"/>
      <c r="H2" s="18" t="s">
        <v>99</v>
      </c>
      <c r="I2" s="4"/>
      <c r="R2" s="5" t="s">
        <v>71</v>
      </c>
      <c r="S2" s="6"/>
      <c r="T2" s="6"/>
    </row>
    <row r="3" spans="2:20" ht="18.75">
      <c r="B3" s="23"/>
      <c r="C3" s="23"/>
      <c r="D3" s="23"/>
      <c r="E3" s="23"/>
      <c r="F3" s="23"/>
      <c r="G3" s="91"/>
      <c r="H3" s="23" t="s">
        <v>100</v>
      </c>
      <c r="I3" s="4"/>
      <c r="R3" s="5" t="s">
        <v>72</v>
      </c>
      <c r="S3" s="6"/>
      <c r="T3" s="6"/>
    </row>
    <row r="4" spans="1:20" ht="18.75">
      <c r="A4" s="14"/>
      <c r="B4" s="14"/>
      <c r="C4" s="56"/>
      <c r="D4" s="56" t="s">
        <v>109</v>
      </c>
      <c r="E4" s="17"/>
      <c r="F4" s="14"/>
      <c r="G4" s="93"/>
      <c r="H4" s="20" t="s">
        <v>101</v>
      </c>
      <c r="I4" s="4"/>
      <c r="R4" s="5" t="s">
        <v>73</v>
      </c>
      <c r="S4" s="6"/>
      <c r="T4" s="6"/>
    </row>
    <row r="5" spans="1:20" ht="16.5" thickBot="1">
      <c r="A5" s="14"/>
      <c r="B5" s="14"/>
      <c r="C5" s="17"/>
      <c r="D5" s="17"/>
      <c r="E5" s="17"/>
      <c r="F5" s="14"/>
      <c r="G5" s="103" t="s">
        <v>181</v>
      </c>
      <c r="H5" s="103"/>
      <c r="I5" s="55"/>
      <c r="R5" s="5"/>
      <c r="S5" s="6"/>
      <c r="T5" s="6"/>
    </row>
    <row r="6" spans="1:20" ht="15.75">
      <c r="A6" s="81"/>
      <c r="B6" s="82"/>
      <c r="C6" s="82"/>
      <c r="D6" s="83" t="s">
        <v>103</v>
      </c>
      <c r="E6" s="84" t="s">
        <v>105</v>
      </c>
      <c r="F6" s="83" t="s">
        <v>176</v>
      </c>
      <c r="G6" s="111" t="s">
        <v>107</v>
      </c>
      <c r="H6" s="84" t="s">
        <v>108</v>
      </c>
      <c r="R6" s="5" t="s">
        <v>74</v>
      </c>
      <c r="S6" s="6"/>
      <c r="T6" s="6"/>
    </row>
    <row r="7" spans="1:8" ht="15.75">
      <c r="A7" s="85" t="s">
        <v>2</v>
      </c>
      <c r="B7" s="16" t="s">
        <v>38</v>
      </c>
      <c r="C7" s="16" t="s">
        <v>102</v>
      </c>
      <c r="D7" s="16" t="s">
        <v>104</v>
      </c>
      <c r="E7" s="15" t="s">
        <v>106</v>
      </c>
      <c r="F7" s="16" t="s">
        <v>1</v>
      </c>
      <c r="G7" s="112"/>
      <c r="H7" s="15" t="s">
        <v>0</v>
      </c>
    </row>
    <row r="8" spans="1:8" ht="16.5" thickBot="1">
      <c r="A8" s="86"/>
      <c r="B8" s="87"/>
      <c r="C8" s="87"/>
      <c r="D8" s="87"/>
      <c r="E8" s="88" t="s">
        <v>36</v>
      </c>
      <c r="F8" s="89" t="s">
        <v>39</v>
      </c>
      <c r="G8" s="94" t="s">
        <v>40</v>
      </c>
      <c r="H8" s="90" t="s">
        <v>40</v>
      </c>
    </row>
    <row r="9" spans="1:8" ht="15.75">
      <c r="A9" s="77"/>
      <c r="B9" s="78" t="s">
        <v>34</v>
      </c>
      <c r="C9" s="78"/>
      <c r="D9" s="78"/>
      <c r="E9" s="79"/>
      <c r="F9" s="78"/>
      <c r="G9" s="95"/>
      <c r="H9" s="80"/>
    </row>
    <row r="10" spans="1:8" ht="15.75">
      <c r="A10" s="60" t="s">
        <v>31</v>
      </c>
      <c r="B10" s="61" t="s">
        <v>29</v>
      </c>
      <c r="C10" s="61"/>
      <c r="D10" s="61"/>
      <c r="E10" s="62"/>
      <c r="F10" s="63"/>
      <c r="G10" s="45"/>
      <c r="H10" s="65"/>
    </row>
    <row r="11" spans="1:8" ht="15.75">
      <c r="A11" s="66"/>
      <c r="B11" s="67" t="s">
        <v>4</v>
      </c>
      <c r="C11" s="67"/>
      <c r="D11" s="67"/>
      <c r="E11" s="68"/>
      <c r="F11" s="64"/>
      <c r="G11" s="45"/>
      <c r="H11" s="65"/>
    </row>
    <row r="12" spans="1:14" ht="15.75">
      <c r="A12" s="69" t="s">
        <v>3</v>
      </c>
      <c r="B12" s="44" t="s">
        <v>41</v>
      </c>
      <c r="C12" s="70" t="s">
        <v>60</v>
      </c>
      <c r="D12" s="70"/>
      <c r="E12" s="45" t="s">
        <v>75</v>
      </c>
      <c r="F12" s="45">
        <v>63000</v>
      </c>
      <c r="G12" s="46">
        <f>(6685404+84390)/744/1000</f>
        <v>9.099185483870968</v>
      </c>
      <c r="H12" s="71">
        <f>F12/1000-G12</f>
        <v>53.90081451612903</v>
      </c>
      <c r="I12" s="57"/>
      <c r="N12" s="58"/>
    </row>
    <row r="13" spans="1:14" ht="15.75">
      <c r="A13" s="69"/>
      <c r="B13" s="44"/>
      <c r="C13" s="70" t="s">
        <v>61</v>
      </c>
      <c r="D13" s="70"/>
      <c r="E13" s="45" t="s">
        <v>76</v>
      </c>
      <c r="F13" s="45">
        <v>63000</v>
      </c>
      <c r="G13" s="46">
        <f>(6561060+207450)/744/1000</f>
        <v>9.097459677419355</v>
      </c>
      <c r="H13" s="71">
        <f>F13/1000-G13</f>
        <v>53.90254032258065</v>
      </c>
      <c r="I13" s="57"/>
      <c r="N13" s="58"/>
    </row>
    <row r="14" spans="1:14" ht="15.75">
      <c r="A14" s="69"/>
      <c r="B14" s="48" t="s">
        <v>5</v>
      </c>
      <c r="C14" s="48"/>
      <c r="D14" s="48"/>
      <c r="E14" s="45"/>
      <c r="F14" s="45"/>
      <c r="G14" s="46"/>
      <c r="H14" s="71"/>
      <c r="I14" s="57"/>
      <c r="N14" s="58"/>
    </row>
    <row r="15" spans="1:14" ht="15.75">
      <c r="A15" s="69" t="s">
        <v>6</v>
      </c>
      <c r="B15" s="44" t="s">
        <v>42</v>
      </c>
      <c r="C15" s="44"/>
      <c r="D15" s="44"/>
      <c r="E15" s="45" t="s">
        <v>77</v>
      </c>
      <c r="F15" s="45">
        <v>6300</v>
      </c>
      <c r="G15" s="46">
        <f>262262/744/1000</f>
        <v>0.352502688172043</v>
      </c>
      <c r="H15" s="71">
        <f aca="true" t="shared" si="0" ref="H15:H22">F15/1000-G15</f>
        <v>5.947497311827957</v>
      </c>
      <c r="I15" s="57"/>
      <c r="N15" s="58"/>
    </row>
    <row r="16" spans="1:14" ht="15.75">
      <c r="A16" s="69" t="s">
        <v>7</v>
      </c>
      <c r="B16" s="44" t="s">
        <v>46</v>
      </c>
      <c r="C16" s="44" t="s">
        <v>62</v>
      </c>
      <c r="D16" s="44"/>
      <c r="E16" s="50">
        <v>11.1</v>
      </c>
      <c r="F16" s="45">
        <v>16000</v>
      </c>
      <c r="G16" s="46">
        <f>225519/744/1000</f>
        <v>0.303116935483871</v>
      </c>
      <c r="H16" s="71">
        <f t="shared" si="0"/>
        <v>15.696883064516129</v>
      </c>
      <c r="I16" s="57"/>
      <c r="N16" s="58"/>
    </row>
    <row r="17" spans="1:14" ht="15.75">
      <c r="A17" s="69"/>
      <c r="B17" s="44"/>
      <c r="C17" s="44" t="s">
        <v>63</v>
      </c>
      <c r="D17" s="44"/>
      <c r="E17" s="50">
        <v>11.1</v>
      </c>
      <c r="F17" s="45">
        <v>16000</v>
      </c>
      <c r="G17" s="46">
        <f>231688/744/1000</f>
        <v>0.31140860215053767</v>
      </c>
      <c r="H17" s="71">
        <f t="shared" si="0"/>
        <v>15.688591397849462</v>
      </c>
      <c r="I17" s="57"/>
      <c r="N17" s="58"/>
    </row>
    <row r="18" spans="1:14" ht="15.75">
      <c r="A18" s="69" t="s">
        <v>8</v>
      </c>
      <c r="B18" s="44" t="s">
        <v>47</v>
      </c>
      <c r="C18" s="44" t="s">
        <v>62</v>
      </c>
      <c r="D18" s="44"/>
      <c r="E18" s="45" t="s">
        <v>78</v>
      </c>
      <c r="F18" s="45">
        <v>16000</v>
      </c>
      <c r="G18" s="46">
        <f>455112/744/1000</f>
        <v>0.6117096774193549</v>
      </c>
      <c r="H18" s="71">
        <f t="shared" si="0"/>
        <v>15.388290322580644</v>
      </c>
      <c r="I18" s="57"/>
      <c r="N18" s="58"/>
    </row>
    <row r="19" spans="1:14" ht="15.75">
      <c r="A19" s="69"/>
      <c r="B19" s="44"/>
      <c r="C19" s="44" t="s">
        <v>63</v>
      </c>
      <c r="D19" s="44"/>
      <c r="E19" s="45" t="s">
        <v>79</v>
      </c>
      <c r="F19" s="45">
        <v>16000</v>
      </c>
      <c r="G19" s="46">
        <f>389268/744/1000</f>
        <v>0.5232096774193549</v>
      </c>
      <c r="H19" s="71">
        <f t="shared" si="0"/>
        <v>15.476790322580644</v>
      </c>
      <c r="I19" s="57"/>
      <c r="N19" s="58"/>
    </row>
    <row r="20" spans="1:14" ht="15.75">
      <c r="A20" s="69" t="s">
        <v>9</v>
      </c>
      <c r="B20" s="44" t="s">
        <v>43</v>
      </c>
      <c r="C20" s="44" t="s">
        <v>62</v>
      </c>
      <c r="D20" s="44"/>
      <c r="E20" s="45" t="s">
        <v>80</v>
      </c>
      <c r="F20" s="45">
        <v>25000</v>
      </c>
      <c r="G20" s="46">
        <f>967120/744/1000</f>
        <v>1.2998924731182797</v>
      </c>
      <c r="H20" s="71">
        <f t="shared" si="0"/>
        <v>23.70010752688172</v>
      </c>
      <c r="I20" s="57"/>
      <c r="N20" s="58"/>
    </row>
    <row r="21" spans="1:14" ht="15.75">
      <c r="A21" s="69"/>
      <c r="B21" s="44"/>
      <c r="C21" s="44" t="s">
        <v>63</v>
      </c>
      <c r="D21" s="44"/>
      <c r="E21" s="45" t="s">
        <v>81</v>
      </c>
      <c r="F21" s="45">
        <v>25000</v>
      </c>
      <c r="G21" s="46">
        <f>591977/744/1000</f>
        <v>0.7956680107526881</v>
      </c>
      <c r="H21" s="71">
        <f t="shared" si="0"/>
        <v>24.20433198924731</v>
      </c>
      <c r="I21" s="57"/>
      <c r="N21" s="58"/>
    </row>
    <row r="22" spans="1:14" ht="15.75">
      <c r="A22" s="69" t="s">
        <v>10</v>
      </c>
      <c r="B22" s="44" t="s">
        <v>44</v>
      </c>
      <c r="C22" s="44" t="s">
        <v>62</v>
      </c>
      <c r="D22" s="44"/>
      <c r="E22" s="45" t="s">
        <v>82</v>
      </c>
      <c r="F22" s="45">
        <v>6300</v>
      </c>
      <c r="G22" s="46">
        <f>(38676)/744/1000</f>
        <v>0.05198387096774194</v>
      </c>
      <c r="H22" s="71">
        <f t="shared" si="0"/>
        <v>6.248016129032258</v>
      </c>
      <c r="I22" s="57"/>
      <c r="N22" s="58"/>
    </row>
    <row r="23" spans="1:14" ht="15.75">
      <c r="A23" s="69"/>
      <c r="B23" s="44"/>
      <c r="C23" s="44" t="s">
        <v>63</v>
      </c>
      <c r="D23" s="44"/>
      <c r="E23" s="45" t="s">
        <v>33</v>
      </c>
      <c r="F23" s="45">
        <v>6300</v>
      </c>
      <c r="G23" s="46" t="s">
        <v>35</v>
      </c>
      <c r="H23" s="71"/>
      <c r="I23" s="57"/>
      <c r="N23" s="58"/>
    </row>
    <row r="24" spans="1:14" ht="15.75">
      <c r="A24" s="69" t="s">
        <v>11</v>
      </c>
      <c r="B24" s="44" t="s">
        <v>45</v>
      </c>
      <c r="C24" s="44"/>
      <c r="D24" s="44"/>
      <c r="E24" s="45" t="s">
        <v>83</v>
      </c>
      <c r="F24" s="45">
        <v>16000</v>
      </c>
      <c r="G24" s="46">
        <f>(62876+1010121)/744/1000</f>
        <v>1.4422002688172042</v>
      </c>
      <c r="H24" s="71">
        <f>F24/1000-G24</f>
        <v>14.557799731182795</v>
      </c>
      <c r="I24" s="57"/>
      <c r="N24" s="58"/>
    </row>
    <row r="25" spans="1:14" ht="15.75">
      <c r="A25" s="43"/>
      <c r="B25" s="44"/>
      <c r="C25" s="44"/>
      <c r="D25" s="44"/>
      <c r="E25" s="45" t="s">
        <v>33</v>
      </c>
      <c r="F25" s="45">
        <v>2500</v>
      </c>
      <c r="G25" s="46" t="s">
        <v>35</v>
      </c>
      <c r="H25" s="71"/>
      <c r="I25" s="57"/>
      <c r="N25" s="58"/>
    </row>
    <row r="26" spans="1:14" ht="15.75">
      <c r="A26" s="69" t="s">
        <v>12</v>
      </c>
      <c r="B26" s="44" t="s">
        <v>48</v>
      </c>
      <c r="C26" s="44" t="s">
        <v>177</v>
      </c>
      <c r="D26" s="44"/>
      <c r="E26" s="45" t="s">
        <v>84</v>
      </c>
      <c r="F26" s="45">
        <v>6300</v>
      </c>
      <c r="G26" s="46">
        <f>(308110+101231)/744/1000</f>
        <v>0.5501895161290323</v>
      </c>
      <c r="H26" s="71">
        <f>F26/1000-G26</f>
        <v>5.749810483870967</v>
      </c>
      <c r="I26" s="57"/>
      <c r="N26" s="58"/>
    </row>
    <row r="27" spans="1:14" ht="15.75">
      <c r="A27" s="69"/>
      <c r="B27" s="48" t="s">
        <v>14</v>
      </c>
      <c r="C27" s="48"/>
      <c r="D27" s="48"/>
      <c r="E27" s="45"/>
      <c r="F27" s="45"/>
      <c r="G27" s="46"/>
      <c r="H27" s="71"/>
      <c r="I27" s="57"/>
      <c r="N27" s="58"/>
    </row>
    <row r="28" spans="1:14" ht="15.75">
      <c r="A28" s="69" t="s">
        <v>13</v>
      </c>
      <c r="B28" s="44" t="s">
        <v>49</v>
      </c>
      <c r="C28" s="44" t="s">
        <v>62</v>
      </c>
      <c r="D28" s="44"/>
      <c r="E28" s="50" t="s">
        <v>85</v>
      </c>
      <c r="F28" s="45">
        <v>1000</v>
      </c>
      <c r="G28" s="46">
        <f>68468/744/1000</f>
        <v>0.09202688172043011</v>
      </c>
      <c r="H28" s="71">
        <f>F28/1000-G28</f>
        <v>0.9079731182795698</v>
      </c>
      <c r="I28" s="57"/>
      <c r="N28" s="58"/>
    </row>
    <row r="29" spans="1:14" ht="15.75">
      <c r="A29" s="69"/>
      <c r="B29" s="44"/>
      <c r="C29" s="44" t="s">
        <v>63</v>
      </c>
      <c r="D29" s="44"/>
      <c r="E29" s="45" t="s">
        <v>33</v>
      </c>
      <c r="F29" s="45">
        <v>6300</v>
      </c>
      <c r="G29" s="46" t="s">
        <v>35</v>
      </c>
      <c r="H29" s="71"/>
      <c r="I29" s="57"/>
      <c r="N29" s="58"/>
    </row>
    <row r="30" spans="1:14" ht="15.75">
      <c r="A30" s="69" t="s">
        <v>15</v>
      </c>
      <c r="B30" s="44" t="s">
        <v>50</v>
      </c>
      <c r="C30" s="44"/>
      <c r="D30" s="44"/>
      <c r="E30" s="50">
        <v>11.1</v>
      </c>
      <c r="F30" s="45">
        <v>1000</v>
      </c>
      <c r="G30" s="46">
        <f>11938/744/1000</f>
        <v>0.016045698924731185</v>
      </c>
      <c r="H30" s="71">
        <f>F30/1000-G30</f>
        <v>0.9839543010752688</v>
      </c>
      <c r="I30" s="57"/>
      <c r="N30" s="58"/>
    </row>
    <row r="31" spans="1:14" ht="15.75">
      <c r="A31" s="43" t="s">
        <v>16</v>
      </c>
      <c r="B31" s="44" t="s">
        <v>51</v>
      </c>
      <c r="C31" s="44"/>
      <c r="D31" s="44"/>
      <c r="E31" s="50">
        <v>11.1</v>
      </c>
      <c r="F31" s="45">
        <v>1000</v>
      </c>
      <c r="G31" s="46">
        <v>0</v>
      </c>
      <c r="H31" s="71">
        <f>F31/1000-G31</f>
        <v>1</v>
      </c>
      <c r="I31" s="57"/>
      <c r="N31" s="58"/>
    </row>
    <row r="32" spans="1:14" ht="15.75">
      <c r="A32" s="72" t="s">
        <v>32</v>
      </c>
      <c r="B32" s="73" t="s">
        <v>17</v>
      </c>
      <c r="C32" s="73"/>
      <c r="D32" s="73"/>
      <c r="E32" s="45"/>
      <c r="F32" s="45"/>
      <c r="G32" s="46"/>
      <c r="H32" s="71"/>
      <c r="I32" s="57"/>
      <c r="N32" s="58"/>
    </row>
    <row r="33" spans="1:14" ht="15.75">
      <c r="A33" s="72"/>
      <c r="B33" s="48" t="s">
        <v>4</v>
      </c>
      <c r="C33" s="48"/>
      <c r="D33" s="48"/>
      <c r="E33" s="45"/>
      <c r="F33" s="45"/>
      <c r="G33" s="46"/>
      <c r="H33" s="71"/>
      <c r="I33" s="57"/>
      <c r="N33" s="58"/>
    </row>
    <row r="34" spans="1:14" ht="15.75">
      <c r="A34" s="69" t="s">
        <v>18</v>
      </c>
      <c r="B34" s="44" t="s">
        <v>52</v>
      </c>
      <c r="C34" s="44" t="s">
        <v>62</v>
      </c>
      <c r="D34" s="44"/>
      <c r="E34" s="45" t="s">
        <v>86</v>
      </c>
      <c r="F34" s="45">
        <v>25000</v>
      </c>
      <c r="G34" s="46">
        <f>5307588/744/1000</f>
        <v>7.133854838709677</v>
      </c>
      <c r="H34" s="71">
        <f aca="true" t="shared" si="1" ref="H34:H41">F34/1000-G34</f>
        <v>17.866145161290323</v>
      </c>
      <c r="I34" s="57"/>
      <c r="N34" s="58"/>
    </row>
    <row r="35" spans="1:14" ht="15.75">
      <c r="A35" s="69"/>
      <c r="B35" s="45"/>
      <c r="C35" s="44" t="s">
        <v>63</v>
      </c>
      <c r="D35" s="44"/>
      <c r="E35" s="45" t="s">
        <v>87</v>
      </c>
      <c r="F35" s="45">
        <v>25000</v>
      </c>
      <c r="G35" s="46">
        <f>8336724/744/1000</f>
        <v>11.205274193548387</v>
      </c>
      <c r="H35" s="71">
        <f t="shared" si="1"/>
        <v>13.794725806451613</v>
      </c>
      <c r="I35" s="57"/>
      <c r="N35" s="58"/>
    </row>
    <row r="36" spans="1:14" ht="15.75">
      <c r="A36" s="69" t="s">
        <v>19</v>
      </c>
      <c r="B36" s="44" t="s">
        <v>53</v>
      </c>
      <c r="C36" s="44" t="s">
        <v>62</v>
      </c>
      <c r="D36" s="44"/>
      <c r="E36" s="45" t="s">
        <v>88</v>
      </c>
      <c r="F36" s="45">
        <v>20000</v>
      </c>
      <c r="G36" s="46">
        <f>2594328/744/1000</f>
        <v>3.487</v>
      </c>
      <c r="H36" s="71">
        <f t="shared" si="1"/>
        <v>16.512999999999998</v>
      </c>
      <c r="I36" s="57"/>
      <c r="N36" s="58"/>
    </row>
    <row r="37" spans="1:14" ht="15.75">
      <c r="A37" s="69"/>
      <c r="B37" s="45"/>
      <c r="C37" s="44" t="s">
        <v>63</v>
      </c>
      <c r="D37" s="44"/>
      <c r="E37" s="45" t="s">
        <v>89</v>
      </c>
      <c r="F37" s="45">
        <v>25000</v>
      </c>
      <c r="G37" s="46">
        <f>2575848/744/1000</f>
        <v>3.4621612903225807</v>
      </c>
      <c r="H37" s="71">
        <f t="shared" si="1"/>
        <v>21.53783870967742</v>
      </c>
      <c r="I37" s="57"/>
      <c r="N37" s="58"/>
    </row>
    <row r="38" spans="1:14" ht="15.75">
      <c r="A38" s="69" t="s">
        <v>20</v>
      </c>
      <c r="B38" s="44" t="s">
        <v>54</v>
      </c>
      <c r="C38" s="44" t="s">
        <v>62</v>
      </c>
      <c r="D38" s="44"/>
      <c r="E38" s="45" t="s">
        <v>90</v>
      </c>
      <c r="F38" s="45">
        <v>20000</v>
      </c>
      <c r="G38" s="46">
        <f>3912656/744/1000</f>
        <v>5.25894623655914</v>
      </c>
      <c r="H38" s="71">
        <f t="shared" si="1"/>
        <v>14.74105376344086</v>
      </c>
      <c r="I38" s="57"/>
      <c r="N38" s="58"/>
    </row>
    <row r="39" spans="1:14" ht="15.75">
      <c r="A39" s="69"/>
      <c r="B39" s="45"/>
      <c r="C39" s="44" t="s">
        <v>63</v>
      </c>
      <c r="D39" s="44"/>
      <c r="E39" s="45" t="s">
        <v>91</v>
      </c>
      <c r="F39" s="45">
        <v>20000</v>
      </c>
      <c r="G39" s="46">
        <f>1917168/744/1000</f>
        <v>2.5768387096774195</v>
      </c>
      <c r="H39" s="71">
        <f t="shared" si="1"/>
        <v>17.423161290322582</v>
      </c>
      <c r="I39" s="57"/>
      <c r="N39" s="58"/>
    </row>
    <row r="40" spans="1:14" ht="15.75">
      <c r="A40" s="72"/>
      <c r="B40" s="44" t="s">
        <v>66</v>
      </c>
      <c r="C40" s="44" t="s">
        <v>64</v>
      </c>
      <c r="D40" s="44"/>
      <c r="E40" s="45" t="s">
        <v>92</v>
      </c>
      <c r="F40" s="45">
        <v>10000</v>
      </c>
      <c r="G40" s="46">
        <f>39564/744/1000</f>
        <v>0.05317741935483871</v>
      </c>
      <c r="H40" s="71">
        <f t="shared" si="1"/>
        <v>9.946822580645161</v>
      </c>
      <c r="I40" s="57"/>
      <c r="N40" s="58"/>
    </row>
    <row r="41" spans="1:14" ht="15.75">
      <c r="A41" s="69"/>
      <c r="B41" s="44" t="s">
        <v>66</v>
      </c>
      <c r="C41" s="44" t="s">
        <v>65</v>
      </c>
      <c r="D41" s="44"/>
      <c r="E41" s="45" t="s">
        <v>93</v>
      </c>
      <c r="F41" s="45">
        <v>10000</v>
      </c>
      <c r="G41" s="46">
        <f>26271/744/1000</f>
        <v>0.035310483870967746</v>
      </c>
      <c r="H41" s="71">
        <f t="shared" si="1"/>
        <v>9.964689516129033</v>
      </c>
      <c r="I41" s="57"/>
      <c r="N41" s="58"/>
    </row>
    <row r="42" spans="1:14" ht="15.75">
      <c r="A42" s="69"/>
      <c r="B42" s="48" t="s">
        <v>21</v>
      </c>
      <c r="C42" s="48"/>
      <c r="D42" s="48"/>
      <c r="E42" s="45"/>
      <c r="F42" s="45"/>
      <c r="G42" s="46"/>
      <c r="H42" s="71"/>
      <c r="I42" s="57"/>
      <c r="N42" s="58"/>
    </row>
    <row r="43" spans="1:14" ht="15.75">
      <c r="A43" s="69" t="s">
        <v>22</v>
      </c>
      <c r="B43" s="44" t="s">
        <v>67</v>
      </c>
      <c r="C43" s="44"/>
      <c r="D43" s="44"/>
      <c r="E43" s="45" t="s">
        <v>94</v>
      </c>
      <c r="F43" s="45">
        <v>6300</v>
      </c>
      <c r="G43" s="46">
        <f>14000/744/1000</f>
        <v>0.01881720430107527</v>
      </c>
      <c r="H43" s="71">
        <f>F43/1000-G43</f>
        <v>6.281182795698925</v>
      </c>
      <c r="I43" s="57"/>
      <c r="N43" s="58"/>
    </row>
    <row r="44" spans="1:14" ht="15.75">
      <c r="A44" s="69" t="s">
        <v>23</v>
      </c>
      <c r="B44" s="44" t="s">
        <v>37</v>
      </c>
      <c r="C44" s="44" t="s">
        <v>178</v>
      </c>
      <c r="D44" s="44"/>
      <c r="E44" s="45" t="s">
        <v>84</v>
      </c>
      <c r="F44" s="45">
        <v>6300</v>
      </c>
      <c r="G44" s="46">
        <f>85701/744/1000</f>
        <v>0.11518951612903226</v>
      </c>
      <c r="H44" s="71">
        <f>F44/1000-G44</f>
        <v>6.184810483870968</v>
      </c>
      <c r="I44" s="57"/>
      <c r="J44" s="2" t="s">
        <v>179</v>
      </c>
      <c r="L44" s="102"/>
      <c r="N44" s="58"/>
    </row>
    <row r="45" spans="1:14" ht="15.75">
      <c r="A45" s="69"/>
      <c r="B45" s="48" t="s">
        <v>14</v>
      </c>
      <c r="C45" s="48"/>
      <c r="D45" s="48"/>
      <c r="E45" s="45"/>
      <c r="F45" s="45"/>
      <c r="G45" s="46"/>
      <c r="H45" s="71"/>
      <c r="I45" s="57"/>
      <c r="N45" s="58"/>
    </row>
    <row r="46" spans="1:14" ht="15.75">
      <c r="A46" s="69" t="s">
        <v>24</v>
      </c>
      <c r="B46" s="44" t="s">
        <v>55</v>
      </c>
      <c r="C46" s="44"/>
      <c r="D46" s="44"/>
      <c r="E46" s="45" t="s">
        <v>95</v>
      </c>
      <c r="F46" s="45">
        <v>3200</v>
      </c>
      <c r="G46" s="46">
        <f>5914/744/1000</f>
        <v>0.007948924731182796</v>
      </c>
      <c r="H46" s="71">
        <f>F46/1000-G46</f>
        <v>3.1920510752688176</v>
      </c>
      <c r="I46" s="57"/>
      <c r="N46" s="58"/>
    </row>
    <row r="47" spans="1:14" ht="15.75">
      <c r="A47" s="69" t="s">
        <v>25</v>
      </c>
      <c r="B47" s="44" t="s">
        <v>56</v>
      </c>
      <c r="C47" s="44"/>
      <c r="D47" s="44"/>
      <c r="E47" s="45" t="s">
        <v>96</v>
      </c>
      <c r="F47" s="45">
        <v>3200</v>
      </c>
      <c r="G47" s="46">
        <f>199534/744/1000</f>
        <v>0.2681908602150538</v>
      </c>
      <c r="H47" s="71">
        <f>F47/1000-G47</f>
        <v>2.9318091397849466</v>
      </c>
      <c r="I47" s="57"/>
      <c r="N47" s="58"/>
    </row>
    <row r="48" spans="1:14" ht="15.75">
      <c r="A48" s="69" t="s">
        <v>26</v>
      </c>
      <c r="B48" s="44" t="s">
        <v>57</v>
      </c>
      <c r="C48" s="44" t="s">
        <v>62</v>
      </c>
      <c r="D48" s="44"/>
      <c r="E48" s="45" t="s">
        <v>33</v>
      </c>
      <c r="F48" s="45">
        <v>2500</v>
      </c>
      <c r="G48" s="46"/>
      <c r="H48" s="71"/>
      <c r="I48" s="57"/>
      <c r="N48" s="58"/>
    </row>
    <row r="49" spans="1:14" ht="15.75">
      <c r="A49" s="69"/>
      <c r="B49" s="44"/>
      <c r="C49" s="44" t="s">
        <v>63</v>
      </c>
      <c r="D49" s="44"/>
      <c r="E49" s="45" t="s">
        <v>97</v>
      </c>
      <c r="F49" s="45">
        <v>2500</v>
      </c>
      <c r="G49" s="46">
        <f>275336/744/1000</f>
        <v>0.3700752688172043</v>
      </c>
      <c r="H49" s="71">
        <f>F49/1000-G49</f>
        <v>2.1299247311827956</v>
      </c>
      <c r="I49" s="57"/>
      <c r="N49" s="58"/>
    </row>
    <row r="50" spans="1:14" ht="15.75">
      <c r="A50" s="69" t="s">
        <v>27</v>
      </c>
      <c r="B50" s="44" t="s">
        <v>58</v>
      </c>
      <c r="C50" s="44" t="s">
        <v>62</v>
      </c>
      <c r="D50" s="44"/>
      <c r="E50" s="45">
        <v>6.62</v>
      </c>
      <c r="F50" s="45">
        <v>1800</v>
      </c>
      <c r="G50" s="46">
        <f>162000/744/1000</f>
        <v>0.21774193548387097</v>
      </c>
      <c r="H50" s="71">
        <f>F50/1000-G50</f>
        <v>1.582258064516129</v>
      </c>
      <c r="I50" s="57"/>
      <c r="N50" s="58"/>
    </row>
    <row r="51" spans="1:14" ht="15.75">
      <c r="A51" s="74"/>
      <c r="B51" s="68" t="s">
        <v>59</v>
      </c>
      <c r="C51" s="44" t="s">
        <v>63</v>
      </c>
      <c r="D51" s="44"/>
      <c r="E51" s="45">
        <v>11.1</v>
      </c>
      <c r="F51" s="45">
        <v>1600</v>
      </c>
      <c r="G51" s="46">
        <f>280000/744/1000</f>
        <v>0.37634408602150543</v>
      </c>
      <c r="H51" s="71">
        <f>F51/1000-G51</f>
        <v>1.2236559139784946</v>
      </c>
      <c r="I51" s="57"/>
      <c r="N51" s="58"/>
    </row>
    <row r="52" spans="1:14" ht="15.75">
      <c r="A52" s="69" t="s">
        <v>28</v>
      </c>
      <c r="B52" s="68" t="s">
        <v>68</v>
      </c>
      <c r="C52" s="44"/>
      <c r="D52" s="44"/>
      <c r="E52" s="45">
        <v>0.4</v>
      </c>
      <c r="F52" s="45">
        <v>560</v>
      </c>
      <c r="G52" s="46">
        <f>44286/744/1000</f>
        <v>0.059524193548387096</v>
      </c>
      <c r="H52" s="71">
        <f>F52/1000-G52</f>
        <v>0.5004758064516129</v>
      </c>
      <c r="I52" s="57"/>
      <c r="N52" s="58"/>
    </row>
    <row r="53" spans="1:14" ht="15.75">
      <c r="A53" s="51" t="s">
        <v>30</v>
      </c>
      <c r="B53" s="75" t="s">
        <v>69</v>
      </c>
      <c r="C53" s="52"/>
      <c r="D53" s="52"/>
      <c r="E53" s="53">
        <v>0.4</v>
      </c>
      <c r="F53" s="53">
        <v>630</v>
      </c>
      <c r="G53" s="96">
        <f>(1173)/744/1000</f>
        <v>0.0015766129032258065</v>
      </c>
      <c r="H53" s="76">
        <f>F53/1000-G53</f>
        <v>0.6284233870967741</v>
      </c>
      <c r="I53" s="57"/>
      <c r="N53" s="58"/>
    </row>
    <row r="54" spans="1:14" ht="15.75">
      <c r="A54" s="98"/>
      <c r="B54" s="99"/>
      <c r="C54" s="98"/>
      <c r="D54" s="98"/>
      <c r="E54" s="100"/>
      <c r="F54" s="100"/>
      <c r="G54" s="97"/>
      <c r="H54" s="101"/>
      <c r="I54" s="57"/>
      <c r="N54" s="58"/>
    </row>
    <row r="55" spans="1:14" ht="15.75">
      <c r="A55" s="98"/>
      <c r="B55" s="99"/>
      <c r="C55" s="98"/>
      <c r="D55" s="98"/>
      <c r="E55" s="100"/>
      <c r="F55" s="100"/>
      <c r="G55" s="97"/>
      <c r="H55" s="101"/>
      <c r="I55" s="57"/>
      <c r="N55" s="58"/>
    </row>
    <row r="56" spans="1:14" ht="15.75">
      <c r="A56" s="98"/>
      <c r="B56" s="99"/>
      <c r="C56" s="98"/>
      <c r="D56" s="98"/>
      <c r="E56" s="100"/>
      <c r="F56" s="100"/>
      <c r="G56" s="97"/>
      <c r="H56" s="101"/>
      <c r="I56" s="57"/>
      <c r="N56" s="58"/>
    </row>
    <row r="57" spans="1:14" ht="15.75">
      <c r="A57" s="98"/>
      <c r="B57" s="99"/>
      <c r="C57" s="98"/>
      <c r="D57" s="98"/>
      <c r="E57" s="100"/>
      <c r="F57" s="100"/>
      <c r="G57" s="97"/>
      <c r="H57" s="101"/>
      <c r="I57" s="57"/>
      <c r="N57" s="58"/>
    </row>
    <row r="58" ht="15.75"/>
    <row r="59" ht="15.75"/>
    <row r="60" spans="1:8" ht="15.75">
      <c r="A60" s="1"/>
      <c r="B60" s="1"/>
      <c r="C60" s="3"/>
      <c r="D60" s="1"/>
      <c r="E60" s="3"/>
      <c r="F60" s="1"/>
      <c r="H60" s="1"/>
    </row>
    <row r="61" spans="1:8" ht="15.75">
      <c r="A61" s="1"/>
      <c r="B61" s="1"/>
      <c r="C61" s="3"/>
      <c r="D61" s="1"/>
      <c r="E61" s="3"/>
      <c r="F61" s="1"/>
      <c r="H61" s="1"/>
    </row>
    <row r="62" spans="1:8" ht="15.75">
      <c r="A62" s="1"/>
      <c r="B62" s="1"/>
      <c r="C62" s="3"/>
      <c r="D62" s="1"/>
      <c r="E62" s="3"/>
      <c r="F62" s="1"/>
      <c r="H62" s="1"/>
    </row>
    <row r="63" spans="1:8" ht="15.75">
      <c r="A63" s="1"/>
      <c r="B63" s="1"/>
      <c r="C63" s="3"/>
      <c r="D63" s="1"/>
      <c r="E63" s="3"/>
      <c r="F63" s="1"/>
      <c r="H63" s="1"/>
    </row>
    <row r="64" spans="1:8" ht="18.75">
      <c r="A64" s="1"/>
      <c r="C64" s="25"/>
      <c r="D64" s="24"/>
      <c r="E64" s="3"/>
      <c r="F64" s="1"/>
      <c r="G64" s="109" t="s">
        <v>110</v>
      </c>
      <c r="H64" s="109"/>
    </row>
    <row r="65" spans="1:8" ht="15.75">
      <c r="A65" s="1"/>
      <c r="B65" s="113" t="s">
        <v>180</v>
      </c>
      <c r="C65" s="114"/>
      <c r="D65" s="114"/>
      <c r="E65" s="114"/>
      <c r="F65" s="114"/>
      <c r="G65" s="114"/>
      <c r="H65" s="114"/>
    </row>
    <row r="66" spans="1:8" ht="18.75">
      <c r="A66" s="1"/>
      <c r="B66" s="26"/>
      <c r="C66" s="27"/>
      <c r="D66" s="26" t="s">
        <v>111</v>
      </c>
      <c r="E66" s="3"/>
      <c r="F66" s="1"/>
      <c r="G66" s="110" t="str">
        <f>G5</f>
        <v>за август 2021г.</v>
      </c>
      <c r="H66" s="110"/>
    </row>
    <row r="67" spans="1:8" ht="31.5">
      <c r="A67" s="104" t="s">
        <v>2</v>
      </c>
      <c r="B67" s="106" t="s">
        <v>112</v>
      </c>
      <c r="C67" s="28" t="s">
        <v>113</v>
      </c>
      <c r="D67" s="106" t="s">
        <v>114</v>
      </c>
      <c r="E67" s="28" t="s">
        <v>115</v>
      </c>
      <c r="F67" s="29" t="s">
        <v>116</v>
      </c>
      <c r="G67" s="106" t="s">
        <v>117</v>
      </c>
      <c r="H67" s="30" t="s">
        <v>118</v>
      </c>
    </row>
    <row r="68" spans="1:8" ht="15.75">
      <c r="A68" s="105"/>
      <c r="B68" s="107"/>
      <c r="C68" s="31" t="s">
        <v>119</v>
      </c>
      <c r="D68" s="107"/>
      <c r="E68" s="31" t="s">
        <v>120</v>
      </c>
      <c r="F68" s="32" t="s">
        <v>121</v>
      </c>
      <c r="G68" s="108"/>
      <c r="H68" s="31" t="s">
        <v>0</v>
      </c>
    </row>
    <row r="69" spans="1:8" ht="15.75">
      <c r="A69" s="33"/>
      <c r="B69" s="33"/>
      <c r="C69" s="34" t="s">
        <v>122</v>
      </c>
      <c r="D69" s="34" t="s">
        <v>123</v>
      </c>
      <c r="E69" s="34" t="s">
        <v>36</v>
      </c>
      <c r="F69" s="35" t="s">
        <v>40</v>
      </c>
      <c r="G69" s="34" t="s">
        <v>40</v>
      </c>
      <c r="H69" s="34" t="s">
        <v>40</v>
      </c>
    </row>
    <row r="70" spans="1:8" ht="15.75">
      <c r="A70" s="21"/>
      <c r="B70" s="19" t="s">
        <v>124</v>
      </c>
      <c r="C70" s="22"/>
      <c r="D70" s="19"/>
      <c r="E70" s="22"/>
      <c r="F70" s="36"/>
      <c r="G70" s="34"/>
      <c r="H70" s="34"/>
    </row>
    <row r="71" spans="1:8" ht="15.75">
      <c r="A71" s="37" t="s">
        <v>3</v>
      </c>
      <c r="B71" s="38" t="s">
        <v>125</v>
      </c>
      <c r="C71" s="39"/>
      <c r="D71" s="38"/>
      <c r="E71" s="39"/>
      <c r="F71" s="40"/>
      <c r="G71" s="41"/>
      <c r="H71" s="42"/>
    </row>
    <row r="72" spans="1:8" ht="15.75">
      <c r="A72" s="43"/>
      <c r="B72" s="44" t="s">
        <v>126</v>
      </c>
      <c r="C72" s="45">
        <v>176.7</v>
      </c>
      <c r="D72" s="44" t="s">
        <v>127</v>
      </c>
      <c r="E72" s="45">
        <v>110</v>
      </c>
      <c r="F72" s="45">
        <v>56.5</v>
      </c>
      <c r="G72" s="46">
        <f>2644158/744/1000</f>
        <v>3.5539758064516125</v>
      </c>
      <c r="H72" s="47">
        <f>F72-G72</f>
        <v>52.94602419354839</v>
      </c>
    </row>
    <row r="73" spans="1:8" ht="15.75">
      <c r="A73" s="43"/>
      <c r="B73" s="44" t="s">
        <v>128</v>
      </c>
      <c r="C73" s="45">
        <v>176.7</v>
      </c>
      <c r="D73" s="44" t="s">
        <v>127</v>
      </c>
      <c r="E73" s="45">
        <v>110</v>
      </c>
      <c r="F73" s="45">
        <v>56.5</v>
      </c>
      <c r="G73" s="46">
        <f>5455560/744/1000</f>
        <v>7.332741935483871</v>
      </c>
      <c r="H73" s="47">
        <f aca="true" t="shared" si="2" ref="H73:H114">F73-G73</f>
        <v>49.167258064516126</v>
      </c>
    </row>
    <row r="74" spans="1:8" ht="15.75">
      <c r="A74" s="43" t="s">
        <v>6</v>
      </c>
      <c r="B74" s="48" t="s">
        <v>129</v>
      </c>
      <c r="C74" s="49"/>
      <c r="D74" s="48"/>
      <c r="E74" s="49"/>
      <c r="F74" s="45"/>
      <c r="G74" s="46"/>
      <c r="H74" s="47"/>
    </row>
    <row r="75" spans="1:14" ht="15.75">
      <c r="A75" s="43"/>
      <c r="B75" s="44" t="s">
        <v>130</v>
      </c>
      <c r="C75" s="45">
        <v>10.26</v>
      </c>
      <c r="D75" s="44" t="s">
        <v>131</v>
      </c>
      <c r="E75" s="45">
        <v>110</v>
      </c>
      <c r="F75" s="45">
        <v>56.5</v>
      </c>
      <c r="G75" s="46">
        <f>(8096000-2140000)/744/1000</f>
        <v>8.005376344086022</v>
      </c>
      <c r="H75" s="47">
        <f t="shared" si="2"/>
        <v>48.494623655913976</v>
      </c>
      <c r="N75" s="59"/>
    </row>
    <row r="76" spans="1:14" ht="15.75">
      <c r="A76" s="43"/>
      <c r="B76" s="44" t="s">
        <v>132</v>
      </c>
      <c r="C76" s="45">
        <v>10.054</v>
      </c>
      <c r="D76" s="44" t="s">
        <v>131</v>
      </c>
      <c r="E76" s="45">
        <v>110</v>
      </c>
      <c r="F76" s="45">
        <v>56.5</v>
      </c>
      <c r="G76" s="46">
        <f>(8701000-215500)/744/1000</f>
        <v>11.405241935483872</v>
      </c>
      <c r="H76" s="47">
        <f t="shared" si="2"/>
        <v>45.09475806451613</v>
      </c>
      <c r="N76" s="59"/>
    </row>
    <row r="77" spans="1:8" ht="15.75">
      <c r="A77" s="43" t="s">
        <v>7</v>
      </c>
      <c r="B77" s="48" t="s">
        <v>133</v>
      </c>
      <c r="C77" s="49"/>
      <c r="D77" s="48"/>
      <c r="E77" s="49"/>
      <c r="F77" s="45"/>
      <c r="G77" s="46"/>
      <c r="H77" s="47">
        <f t="shared" si="2"/>
        <v>0</v>
      </c>
    </row>
    <row r="78" spans="1:8" ht="15.75">
      <c r="A78" s="43"/>
      <c r="B78" s="44" t="s">
        <v>134</v>
      </c>
      <c r="C78" s="45">
        <v>114.9</v>
      </c>
      <c r="D78" s="44" t="s">
        <v>135</v>
      </c>
      <c r="E78" s="45">
        <v>35</v>
      </c>
      <c r="F78" s="45">
        <v>11.4</v>
      </c>
      <c r="G78" s="46">
        <f>61530/744/1000</f>
        <v>0.08270161290322581</v>
      </c>
      <c r="H78" s="47">
        <f t="shared" si="2"/>
        <v>11.317298387096775</v>
      </c>
    </row>
    <row r="79" spans="1:8" ht="15.75">
      <c r="A79" s="43"/>
      <c r="B79" s="44" t="s">
        <v>136</v>
      </c>
      <c r="C79" s="45">
        <v>67.1</v>
      </c>
      <c r="D79" s="44" t="s">
        <v>137</v>
      </c>
      <c r="E79" s="45">
        <v>35</v>
      </c>
      <c r="F79" s="45">
        <v>14.4</v>
      </c>
      <c r="G79" s="46">
        <f>30737/744/1000</f>
        <v>0.04131317204301075</v>
      </c>
      <c r="H79" s="47">
        <f t="shared" si="2"/>
        <v>14.358686827956989</v>
      </c>
    </row>
    <row r="80" spans="1:8" ht="15.75">
      <c r="A80" s="43"/>
      <c r="B80" s="44" t="s">
        <v>138</v>
      </c>
      <c r="C80" s="45">
        <v>27.2</v>
      </c>
      <c r="D80" s="44" t="s">
        <v>139</v>
      </c>
      <c r="E80" s="45">
        <v>35</v>
      </c>
      <c r="F80" s="45">
        <v>11.4</v>
      </c>
      <c r="G80" s="46">
        <f>253477/744/1000</f>
        <v>0.3406948924731183</v>
      </c>
      <c r="H80" s="47">
        <f t="shared" si="2"/>
        <v>11.059305107526882</v>
      </c>
    </row>
    <row r="81" spans="1:8" ht="15.75">
      <c r="A81" s="43"/>
      <c r="B81" s="44" t="s">
        <v>140</v>
      </c>
      <c r="C81" s="45">
        <v>52.7</v>
      </c>
      <c r="D81" s="44" t="s">
        <v>131</v>
      </c>
      <c r="E81" s="45">
        <v>35</v>
      </c>
      <c r="F81" s="45">
        <v>17.9</v>
      </c>
      <c r="G81" s="46">
        <f>803698/744/1000</f>
        <v>1.080239247311828</v>
      </c>
      <c r="H81" s="47">
        <f t="shared" si="2"/>
        <v>16.819760752688172</v>
      </c>
    </row>
    <row r="82" spans="1:8" ht="15.75">
      <c r="A82" s="43"/>
      <c r="B82" s="44" t="s">
        <v>141</v>
      </c>
      <c r="C82" s="45">
        <v>4.82</v>
      </c>
      <c r="D82" s="44" t="s">
        <v>142</v>
      </c>
      <c r="E82" s="45">
        <v>35</v>
      </c>
      <c r="F82" s="45">
        <v>17.9</v>
      </c>
      <c r="G82" s="46">
        <f>366786/744/1000</f>
        <v>0.492991935483871</v>
      </c>
      <c r="H82" s="47">
        <f t="shared" si="2"/>
        <v>17.407008064516127</v>
      </c>
    </row>
    <row r="83" spans="1:8" ht="15.75">
      <c r="A83" s="43"/>
      <c r="B83" s="44" t="s">
        <v>143</v>
      </c>
      <c r="C83" s="45">
        <v>4.82</v>
      </c>
      <c r="D83" s="44" t="s">
        <v>142</v>
      </c>
      <c r="E83" s="45">
        <v>35</v>
      </c>
      <c r="F83" s="45">
        <v>17.9</v>
      </c>
      <c r="G83" s="46">
        <f>348989/744/1000</f>
        <v>0.4690712365591398</v>
      </c>
      <c r="H83" s="47">
        <f t="shared" si="2"/>
        <v>17.43092876344086</v>
      </c>
    </row>
    <row r="84" spans="1:8" ht="15.75">
      <c r="A84" s="43"/>
      <c r="B84" s="44" t="s">
        <v>144</v>
      </c>
      <c r="C84" s="45">
        <v>22</v>
      </c>
      <c r="D84" s="44" t="s">
        <v>137</v>
      </c>
      <c r="E84" s="45">
        <v>35</v>
      </c>
      <c r="F84" s="45">
        <v>17.9</v>
      </c>
      <c r="G84" s="46">
        <f>156503/744/1000</f>
        <v>0.2103534946236559</v>
      </c>
      <c r="H84" s="47">
        <f t="shared" si="2"/>
        <v>17.68964650537634</v>
      </c>
    </row>
    <row r="85" spans="1:8" ht="15.75">
      <c r="A85" s="43"/>
      <c r="B85" s="44" t="s">
        <v>145</v>
      </c>
      <c r="C85" s="45">
        <v>22</v>
      </c>
      <c r="D85" s="44" t="s">
        <v>137</v>
      </c>
      <c r="E85" s="45">
        <v>35</v>
      </c>
      <c r="F85" s="45">
        <v>17.9</v>
      </c>
      <c r="G85" s="46">
        <f>355677/744/1000</f>
        <v>0.4780604838709677</v>
      </c>
      <c r="H85" s="47">
        <f t="shared" si="2"/>
        <v>17.42193951612903</v>
      </c>
    </row>
    <row r="86" spans="1:8" ht="15.75">
      <c r="A86" s="43" t="s">
        <v>8</v>
      </c>
      <c r="B86" s="48" t="s">
        <v>146</v>
      </c>
      <c r="C86" s="49"/>
      <c r="D86" s="48"/>
      <c r="E86" s="45"/>
      <c r="F86" s="45"/>
      <c r="G86" s="46"/>
      <c r="H86" s="47"/>
    </row>
    <row r="87" spans="1:8" ht="15.75">
      <c r="A87" s="43"/>
      <c r="B87" s="44" t="s">
        <v>147</v>
      </c>
      <c r="C87" s="45">
        <v>33.55</v>
      </c>
      <c r="D87" s="44" t="s">
        <v>135</v>
      </c>
      <c r="E87" s="45">
        <v>35</v>
      </c>
      <c r="F87" s="45">
        <v>9.5</v>
      </c>
      <c r="G87" s="46">
        <f>165375/744/1000</f>
        <v>0.22227822580645162</v>
      </c>
      <c r="H87" s="47">
        <f t="shared" si="2"/>
        <v>9.277721774193548</v>
      </c>
    </row>
    <row r="88" spans="1:8" ht="15.75">
      <c r="A88" s="43"/>
      <c r="B88" s="44" t="s">
        <v>148</v>
      </c>
      <c r="C88" s="45">
        <v>27.7</v>
      </c>
      <c r="D88" s="44" t="s">
        <v>137</v>
      </c>
      <c r="E88" s="45">
        <v>35</v>
      </c>
      <c r="F88" s="45">
        <v>9.5</v>
      </c>
      <c r="G88" s="46">
        <f>54121/744/1000</f>
        <v>0.07274327956989247</v>
      </c>
      <c r="H88" s="47">
        <f t="shared" si="2"/>
        <v>9.427256720430108</v>
      </c>
    </row>
    <row r="89" spans="1:8" ht="15.75">
      <c r="A89" s="43"/>
      <c r="B89" s="44" t="s">
        <v>149</v>
      </c>
      <c r="C89" s="45">
        <v>18.62</v>
      </c>
      <c r="D89" s="44" t="s">
        <v>139</v>
      </c>
      <c r="E89" s="45">
        <v>35</v>
      </c>
      <c r="F89" s="45">
        <v>11.4</v>
      </c>
      <c r="G89" s="46">
        <f>197064/744/1000</f>
        <v>0.26487096774193547</v>
      </c>
      <c r="H89" s="47">
        <f t="shared" si="2"/>
        <v>11.135129032258066</v>
      </c>
    </row>
    <row r="90" spans="1:8" ht="15.75">
      <c r="A90" s="43" t="s">
        <v>9</v>
      </c>
      <c r="B90" s="48" t="s">
        <v>150</v>
      </c>
      <c r="C90" s="49"/>
      <c r="D90" s="48"/>
      <c r="E90" s="45"/>
      <c r="F90" s="45"/>
      <c r="G90" s="46"/>
      <c r="H90" s="47"/>
    </row>
    <row r="91" spans="1:8" ht="15.75">
      <c r="A91" s="43"/>
      <c r="B91" s="44" t="s">
        <v>151</v>
      </c>
      <c r="C91" s="45">
        <v>22.5</v>
      </c>
      <c r="D91" s="44" t="s">
        <v>152</v>
      </c>
      <c r="E91" s="45">
        <v>35</v>
      </c>
      <c r="F91" s="45">
        <v>20.7</v>
      </c>
      <c r="G91" s="46">
        <f>384300/744/1000</f>
        <v>0.5165322580645161</v>
      </c>
      <c r="H91" s="47">
        <f t="shared" si="2"/>
        <v>20.183467741935484</v>
      </c>
    </row>
    <row r="92" spans="1:8" ht="15.75">
      <c r="A92" s="43"/>
      <c r="B92" s="44" t="s">
        <v>153</v>
      </c>
      <c r="C92" s="45">
        <v>19.69</v>
      </c>
      <c r="D92" s="44" t="s">
        <v>131</v>
      </c>
      <c r="E92" s="45">
        <v>35</v>
      </c>
      <c r="F92" s="45">
        <v>20.7</v>
      </c>
      <c r="G92" s="46">
        <f>721602/744/1000</f>
        <v>0.9698951612903226</v>
      </c>
      <c r="H92" s="47">
        <f t="shared" si="2"/>
        <v>19.73010483870968</v>
      </c>
    </row>
    <row r="93" spans="1:8" ht="15.75">
      <c r="A93" s="43" t="s">
        <v>10</v>
      </c>
      <c r="B93" s="48" t="s">
        <v>154</v>
      </c>
      <c r="C93" s="49"/>
      <c r="D93" s="48"/>
      <c r="E93" s="45"/>
      <c r="F93" s="45"/>
      <c r="G93" s="46"/>
      <c r="H93" s="47"/>
    </row>
    <row r="94" spans="1:8" ht="15.75">
      <c r="A94" s="43"/>
      <c r="B94" s="44" t="s">
        <v>155</v>
      </c>
      <c r="C94" s="45">
        <v>11.2</v>
      </c>
      <c r="D94" s="44" t="s">
        <v>139</v>
      </c>
      <c r="E94" s="45">
        <v>35</v>
      </c>
      <c r="F94" s="45">
        <v>11.4</v>
      </c>
      <c r="G94" s="46">
        <f>240979/744/1000</f>
        <v>0.32389650537634407</v>
      </c>
      <c r="H94" s="47">
        <f t="shared" si="2"/>
        <v>11.076103494623656</v>
      </c>
    </row>
    <row r="95" spans="1:8" ht="15.75" hidden="1">
      <c r="A95" s="43"/>
      <c r="B95" s="44" t="s">
        <v>156</v>
      </c>
      <c r="C95" s="45">
        <v>12.6</v>
      </c>
      <c r="D95" s="44" t="s">
        <v>139</v>
      </c>
      <c r="E95" s="45">
        <v>35</v>
      </c>
      <c r="F95" s="45">
        <v>11.4</v>
      </c>
      <c r="G95" s="46">
        <v>0</v>
      </c>
      <c r="H95" s="47">
        <f t="shared" si="2"/>
        <v>11.4</v>
      </c>
    </row>
    <row r="96" spans="1:8" ht="15.75">
      <c r="A96" s="43" t="s">
        <v>11</v>
      </c>
      <c r="B96" s="48" t="s">
        <v>157</v>
      </c>
      <c r="C96" s="49"/>
      <c r="D96" s="48"/>
      <c r="E96" s="45"/>
      <c r="F96" s="45"/>
      <c r="G96" s="46"/>
      <c r="H96" s="47">
        <f>F96-G96</f>
        <v>0</v>
      </c>
    </row>
    <row r="97" spans="1:8" ht="15.75">
      <c r="A97" s="43"/>
      <c r="B97" s="44" t="s">
        <v>158</v>
      </c>
      <c r="C97" s="45">
        <v>13.5</v>
      </c>
      <c r="D97" s="44" t="s">
        <v>137</v>
      </c>
      <c r="E97" s="45">
        <v>35</v>
      </c>
      <c r="F97" s="45">
        <v>14.4</v>
      </c>
      <c r="G97" s="46">
        <f>102942/744/1000</f>
        <v>0.13836290322580647</v>
      </c>
      <c r="H97" s="47">
        <f t="shared" si="2"/>
        <v>14.261637096774194</v>
      </c>
    </row>
    <row r="98" spans="1:8" ht="15.75">
      <c r="A98" s="43" t="s">
        <v>12</v>
      </c>
      <c r="B98" s="48" t="s">
        <v>159</v>
      </c>
      <c r="C98" s="49"/>
      <c r="D98" s="48"/>
      <c r="E98" s="49"/>
      <c r="F98" s="45"/>
      <c r="G98" s="46"/>
      <c r="H98" s="47"/>
    </row>
    <row r="99" spans="1:8" ht="15.75">
      <c r="A99" s="43"/>
      <c r="B99" s="44" t="s">
        <v>160</v>
      </c>
      <c r="C99" s="45">
        <v>42</v>
      </c>
      <c r="D99" s="44" t="s">
        <v>131</v>
      </c>
      <c r="E99" s="45">
        <v>110</v>
      </c>
      <c r="F99" s="45">
        <v>56.5</v>
      </c>
      <c r="G99" s="46">
        <f>442715/744/1000</f>
        <v>0.5950470430107526</v>
      </c>
      <c r="H99" s="47">
        <f t="shared" si="2"/>
        <v>55.90495295698925</v>
      </c>
    </row>
    <row r="100" spans="1:8" ht="15.75">
      <c r="A100" s="43"/>
      <c r="B100" s="44" t="s">
        <v>161</v>
      </c>
      <c r="C100" s="45">
        <v>63.2</v>
      </c>
      <c r="D100" s="44" t="s">
        <v>152</v>
      </c>
      <c r="E100" s="45">
        <v>110</v>
      </c>
      <c r="F100" s="50">
        <v>65</v>
      </c>
      <c r="G100" s="46">
        <f>262916/744/1000</f>
        <v>0.3533817204301075</v>
      </c>
      <c r="H100" s="47">
        <f t="shared" si="2"/>
        <v>64.64661827956989</v>
      </c>
    </row>
    <row r="101" spans="1:8" ht="15.75">
      <c r="A101" s="43"/>
      <c r="B101" s="44" t="s">
        <v>162</v>
      </c>
      <c r="C101" s="45">
        <v>49</v>
      </c>
      <c r="D101" s="44" t="s">
        <v>163</v>
      </c>
      <c r="E101" s="45">
        <v>35</v>
      </c>
      <c r="F101" s="45">
        <v>11.4</v>
      </c>
      <c r="G101" s="46">
        <f>1113440/744/1000</f>
        <v>1.4965591397849463</v>
      </c>
      <c r="H101" s="47">
        <f t="shared" si="2"/>
        <v>9.903440860215055</v>
      </c>
    </row>
    <row r="102" spans="1:8" ht="15.75">
      <c r="A102" s="43" t="s">
        <v>13</v>
      </c>
      <c r="B102" s="48" t="s">
        <v>164</v>
      </c>
      <c r="C102" s="49"/>
      <c r="D102" s="48"/>
      <c r="E102" s="45"/>
      <c r="F102" s="45"/>
      <c r="G102" s="46"/>
      <c r="H102" s="47"/>
    </row>
    <row r="103" spans="1:8" ht="15.75">
      <c r="A103" s="43"/>
      <c r="B103" s="44" t="s">
        <v>165</v>
      </c>
      <c r="C103" s="45">
        <v>75.2</v>
      </c>
      <c r="D103" s="44" t="s">
        <v>137</v>
      </c>
      <c r="E103" s="45">
        <v>35</v>
      </c>
      <c r="F103" s="45">
        <v>11.4</v>
      </c>
      <c r="G103" s="46">
        <f>235300/744/1000</f>
        <v>0.316263440860215</v>
      </c>
      <c r="H103" s="47">
        <f t="shared" si="2"/>
        <v>11.083736559139785</v>
      </c>
    </row>
    <row r="104" spans="1:8" ht="15.75">
      <c r="A104" s="43" t="s">
        <v>15</v>
      </c>
      <c r="B104" s="48" t="s">
        <v>166</v>
      </c>
      <c r="C104" s="49"/>
      <c r="D104" s="48"/>
      <c r="E104" s="45"/>
      <c r="F104" s="45"/>
      <c r="G104" s="46"/>
      <c r="H104" s="47"/>
    </row>
    <row r="105" spans="1:8" ht="15.75">
      <c r="A105" s="43"/>
      <c r="B105" s="44" t="s">
        <v>167</v>
      </c>
      <c r="C105" s="45">
        <v>56.26</v>
      </c>
      <c r="D105" s="44" t="s">
        <v>131</v>
      </c>
      <c r="E105" s="45">
        <v>110</v>
      </c>
      <c r="F105" s="45">
        <v>56.5</v>
      </c>
      <c r="G105" s="46">
        <f>35332/744/1000</f>
        <v>0.04748924731182796</v>
      </c>
      <c r="H105" s="47">
        <f t="shared" si="2"/>
        <v>56.45251075268817</v>
      </c>
    </row>
    <row r="106" spans="1:8" ht="15.75">
      <c r="A106" s="43"/>
      <c r="B106" s="44" t="s">
        <v>168</v>
      </c>
      <c r="C106" s="45">
        <v>75.5</v>
      </c>
      <c r="D106" s="44" t="s">
        <v>127</v>
      </c>
      <c r="E106" s="45">
        <v>110</v>
      </c>
      <c r="F106" s="45">
        <v>56.5</v>
      </c>
      <c r="G106" s="46">
        <f>310376/744/1000</f>
        <v>0.4171720430107527</v>
      </c>
      <c r="H106" s="47">
        <f t="shared" si="2"/>
        <v>56.08282795698925</v>
      </c>
    </row>
    <row r="107" spans="1:8" ht="15.75">
      <c r="A107" s="43"/>
      <c r="B107" s="44" t="s">
        <v>169</v>
      </c>
      <c r="C107" s="45">
        <v>95.9</v>
      </c>
      <c r="D107" s="44" t="s">
        <v>163</v>
      </c>
      <c r="E107" s="45">
        <v>35</v>
      </c>
      <c r="F107" s="45">
        <v>11.4</v>
      </c>
      <c r="G107" s="46">
        <f>80661/744/1000</f>
        <v>0.10841532258064517</v>
      </c>
      <c r="H107" s="47">
        <f t="shared" si="2"/>
        <v>11.291584677419355</v>
      </c>
    </row>
    <row r="108" spans="1:8" ht="15.75">
      <c r="A108" s="43" t="s">
        <v>16</v>
      </c>
      <c r="B108" s="48" t="s">
        <v>170</v>
      </c>
      <c r="C108" s="49"/>
      <c r="D108" s="48"/>
      <c r="E108" s="45"/>
      <c r="F108" s="45"/>
      <c r="G108" s="46"/>
      <c r="H108" s="47"/>
    </row>
    <row r="109" spans="1:8" ht="15.75">
      <c r="A109" s="43"/>
      <c r="B109" s="44" t="s">
        <v>169</v>
      </c>
      <c r="C109" s="45">
        <v>43.3</v>
      </c>
      <c r="D109" s="44" t="s">
        <v>131</v>
      </c>
      <c r="E109" s="45">
        <v>35</v>
      </c>
      <c r="F109" s="45">
        <v>17.9</v>
      </c>
      <c r="G109" s="46">
        <f>10405/744/1000</f>
        <v>0.01398521505376344</v>
      </c>
      <c r="H109" s="47">
        <f t="shared" si="2"/>
        <v>17.886014784946234</v>
      </c>
    </row>
    <row r="110" spans="1:8" ht="15.75">
      <c r="A110" s="43" t="s">
        <v>18</v>
      </c>
      <c r="B110" s="48" t="s">
        <v>171</v>
      </c>
      <c r="C110" s="49"/>
      <c r="D110" s="48"/>
      <c r="E110" s="45"/>
      <c r="F110" s="45"/>
      <c r="G110" s="46"/>
      <c r="H110" s="47"/>
    </row>
    <row r="111" spans="1:8" ht="15.75">
      <c r="A111" s="43"/>
      <c r="B111" s="44" t="s">
        <v>172</v>
      </c>
      <c r="C111" s="45">
        <v>42</v>
      </c>
      <c r="D111" s="44" t="s">
        <v>137</v>
      </c>
      <c r="E111" s="45">
        <v>35</v>
      </c>
      <c r="F111" s="45">
        <v>14.4</v>
      </c>
      <c r="G111" s="46">
        <v>0</v>
      </c>
      <c r="H111" s="47">
        <f t="shared" si="2"/>
        <v>14.4</v>
      </c>
    </row>
    <row r="112" spans="1:8" ht="15.75">
      <c r="A112" s="43"/>
      <c r="B112" s="44" t="s">
        <v>173</v>
      </c>
      <c r="C112" s="45">
        <v>37</v>
      </c>
      <c r="D112" s="44" t="s">
        <v>137</v>
      </c>
      <c r="E112" s="45">
        <v>35</v>
      </c>
      <c r="F112" s="45">
        <v>14.4</v>
      </c>
      <c r="G112" s="46">
        <f>27776/744/1000</f>
        <v>0.037333333333333336</v>
      </c>
      <c r="H112" s="47">
        <f t="shared" si="2"/>
        <v>14.362666666666668</v>
      </c>
    </row>
    <row r="113" spans="1:8" ht="15.75">
      <c r="A113" s="43"/>
      <c r="B113" s="44" t="s">
        <v>168</v>
      </c>
      <c r="C113" s="45"/>
      <c r="D113" s="44" t="s">
        <v>137</v>
      </c>
      <c r="E113" s="45">
        <v>35</v>
      </c>
      <c r="F113" s="45">
        <v>14.4</v>
      </c>
      <c r="G113" s="46">
        <f>288593/744/1000</f>
        <v>0.38789381720430105</v>
      </c>
      <c r="H113" s="47">
        <f t="shared" si="2"/>
        <v>14.0121061827957</v>
      </c>
    </row>
    <row r="114" spans="1:8" ht="15.75">
      <c r="A114" s="51"/>
      <c r="B114" s="52" t="s">
        <v>174</v>
      </c>
      <c r="C114" s="53">
        <v>91</v>
      </c>
      <c r="D114" s="52" t="s">
        <v>175</v>
      </c>
      <c r="E114" s="53">
        <v>35</v>
      </c>
      <c r="F114" s="53">
        <v>17.9</v>
      </c>
      <c r="G114" s="96">
        <f>73021/744/1000</f>
        <v>0.09814650537634408</v>
      </c>
      <c r="H114" s="54">
        <f t="shared" si="2"/>
        <v>17.801853494623654</v>
      </c>
    </row>
  </sheetData>
  <sheetProtection/>
  <mergeCells count="9">
    <mergeCell ref="G5:H5"/>
    <mergeCell ref="A67:A68"/>
    <mergeCell ref="B67:B68"/>
    <mergeCell ref="D67:D68"/>
    <mergeCell ref="G67:G68"/>
    <mergeCell ref="G64:H64"/>
    <mergeCell ref="G66:H66"/>
    <mergeCell ref="G6:G7"/>
    <mergeCell ref="B65:H65"/>
  </mergeCells>
  <printOptions horizontalCentered="1" verticalCentered="1"/>
  <pageMargins left="0.7874015748031497" right="0.1968503937007874" top="0.7874015748031497" bottom="0.3937007874015748" header="0" footer="0"/>
  <pageSetup fitToHeight="2"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 "JREK"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REJIM_Luba</dc:creator>
  <cp:keywords/>
  <dc:description/>
  <cp:lastModifiedBy>Токешева</cp:lastModifiedBy>
  <cp:lastPrinted>2021-08-12T10:51:21Z</cp:lastPrinted>
  <dcterms:created xsi:type="dcterms:W3CDTF">1998-01-23T09:32:06Z</dcterms:created>
  <dcterms:modified xsi:type="dcterms:W3CDTF">2021-09-10T04:46:50Z</dcterms:modified>
  <cp:category/>
  <cp:version/>
  <cp:contentType/>
  <cp:contentStatus/>
</cp:coreProperties>
</file>