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 activeTab="1"/>
  </bookViews>
  <sheets>
    <sheet name="ЖЭУ  за июль 2024г." sheetId="3" r:id="rId1"/>
    <sheet name="БЭУ за июль 2024г." sheetId="2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27" l="1"/>
  <c r="F108" i="27"/>
  <c r="H108" i="27" s="1"/>
  <c r="H107" i="27"/>
  <c r="G107" i="27"/>
  <c r="F107" i="27"/>
  <c r="G105" i="27"/>
  <c r="H105" i="27" s="1"/>
  <c r="F105" i="27"/>
  <c r="G104" i="27"/>
  <c r="F104" i="27"/>
  <c r="H104" i="27" s="1"/>
  <c r="G103" i="27"/>
  <c r="F103" i="27"/>
  <c r="H103" i="27" s="1"/>
  <c r="H101" i="27"/>
  <c r="G101" i="27"/>
  <c r="F101" i="27"/>
  <c r="G99" i="27"/>
  <c r="H99" i="27" s="1"/>
  <c r="F99" i="27"/>
  <c r="G97" i="27"/>
  <c r="F97" i="27"/>
  <c r="H97" i="27" s="1"/>
  <c r="G96" i="27"/>
  <c r="F96" i="27"/>
  <c r="H96" i="27" s="1"/>
  <c r="H94" i="27"/>
  <c r="G94" i="27"/>
  <c r="F94" i="27"/>
  <c r="G92" i="27"/>
  <c r="H92" i="27" s="1"/>
  <c r="F92" i="27"/>
  <c r="G90" i="27"/>
  <c r="F90" i="27"/>
  <c r="H90" i="27" s="1"/>
  <c r="G89" i="27"/>
  <c r="F89" i="27"/>
  <c r="H89" i="27" s="1"/>
  <c r="H87" i="27"/>
  <c r="G87" i="27"/>
  <c r="F87" i="27"/>
  <c r="G86" i="27"/>
  <c r="H86" i="27" s="1"/>
  <c r="F86" i="27"/>
  <c r="G85" i="27"/>
  <c r="F85" i="27"/>
  <c r="H85" i="27" s="1"/>
  <c r="F83" i="27"/>
  <c r="F81" i="27"/>
  <c r="G79" i="27"/>
  <c r="H79" i="27" s="1"/>
  <c r="F79" i="27"/>
  <c r="G78" i="27"/>
  <c r="F78" i="27"/>
  <c r="H78" i="27" s="1"/>
  <c r="G77" i="27"/>
  <c r="F77" i="27"/>
  <c r="H77" i="27" s="1"/>
  <c r="H76" i="27"/>
  <c r="G76" i="27"/>
  <c r="F76" i="27"/>
  <c r="G75" i="27"/>
  <c r="H75" i="27" s="1"/>
  <c r="F75" i="27"/>
  <c r="G73" i="27"/>
  <c r="F73" i="27"/>
  <c r="H73" i="27" s="1"/>
  <c r="G72" i="27"/>
  <c r="F72" i="27"/>
  <c r="H72" i="27" s="1"/>
  <c r="H70" i="27"/>
  <c r="G70" i="27"/>
  <c r="F70" i="27"/>
  <c r="F69" i="27"/>
  <c r="H68" i="27"/>
  <c r="G68" i="27"/>
  <c r="F68" i="27"/>
  <c r="G66" i="27"/>
  <c r="H66" i="27" s="1"/>
  <c r="F66" i="27"/>
  <c r="G65" i="27"/>
  <c r="F65" i="27"/>
  <c r="H65" i="27" s="1"/>
  <c r="G64" i="27"/>
  <c r="F64" i="27"/>
  <c r="H64" i="27" s="1"/>
  <c r="H63" i="27"/>
  <c r="G63" i="27"/>
  <c r="F63" i="27"/>
  <c r="G62" i="27"/>
  <c r="H62" i="27" s="1"/>
  <c r="F62" i="27"/>
  <c r="G61" i="27"/>
  <c r="F61" i="27"/>
  <c r="H61" i="27" s="1"/>
  <c r="G60" i="27"/>
  <c r="F60" i="27"/>
  <c r="H60" i="27" s="1"/>
  <c r="H59" i="27"/>
  <c r="G59" i="27"/>
  <c r="F59" i="27"/>
  <c r="G58" i="27"/>
  <c r="H58" i="27" s="1"/>
  <c r="F58" i="27"/>
  <c r="G57" i="27"/>
  <c r="F57" i="27"/>
  <c r="H57" i="27" s="1"/>
  <c r="G56" i="27"/>
  <c r="F56" i="27"/>
  <c r="H56" i="27" s="1"/>
  <c r="H49" i="27"/>
  <c r="G49" i="27"/>
  <c r="G47" i="27"/>
  <c r="H47" i="27" s="1"/>
  <c r="H44" i="27"/>
  <c r="G44" i="27"/>
  <c r="G43" i="27"/>
  <c r="H43" i="27" s="1"/>
  <c r="H42" i="27"/>
  <c r="G42" i="27"/>
  <c r="G40" i="27"/>
  <c r="H40" i="27" s="1"/>
  <c r="H39" i="27"/>
  <c r="G39" i="27"/>
  <c r="G37" i="27"/>
  <c r="H37" i="27" s="1"/>
  <c r="H34" i="27"/>
  <c r="G34" i="27"/>
  <c r="G33" i="27"/>
  <c r="H33" i="27" s="1"/>
  <c r="H31" i="27"/>
  <c r="G31" i="27"/>
  <c r="G30" i="27"/>
  <c r="H30" i="27" s="1"/>
  <c r="H29" i="27"/>
  <c r="G29" i="27"/>
  <c r="G28" i="27"/>
  <c r="H28" i="27" s="1"/>
  <c r="H27" i="27"/>
  <c r="G27" i="27"/>
  <c r="G25" i="27"/>
  <c r="H25" i="27" s="1"/>
  <c r="H24" i="27"/>
  <c r="G24" i="27"/>
  <c r="G23" i="27"/>
  <c r="H23" i="27" s="1"/>
  <c r="H21" i="27"/>
  <c r="G21" i="27"/>
  <c r="G20" i="27"/>
  <c r="H20" i="27" s="1"/>
  <c r="H19" i="27"/>
  <c r="G19" i="27"/>
  <c r="G17" i="27"/>
  <c r="H17" i="27" s="1"/>
  <c r="H16" i="27"/>
  <c r="G16" i="27"/>
  <c r="G15" i="27"/>
  <c r="H15" i="27" s="1"/>
  <c r="H14" i="27"/>
  <c r="G14" i="27"/>
  <c r="G13" i="27"/>
  <c r="H13" i="27" s="1"/>
  <c r="H12" i="27"/>
  <c r="G12" i="27"/>
  <c r="G11" i="27"/>
  <c r="H11" i="27" s="1"/>
  <c r="G102" i="3" l="1"/>
  <c r="G30" i="3"/>
  <c r="G43" i="3"/>
  <c r="G17" i="3"/>
  <c r="G16" i="3"/>
  <c r="G28" i="3"/>
  <c r="G87" i="3"/>
  <c r="G107" i="3"/>
  <c r="G106" i="3"/>
  <c r="G105" i="3"/>
  <c r="G104" i="3"/>
  <c r="G24" i="3"/>
  <c r="G26" i="3"/>
  <c r="G90" i="3"/>
  <c r="G96" i="3"/>
  <c r="G93" i="3"/>
  <c r="G15" i="3"/>
  <c r="G100" i="3"/>
  <c r="G99" i="3"/>
  <c r="G98" i="3"/>
  <c r="G94" i="3"/>
  <c r="G92" i="3"/>
  <c r="G22" i="3"/>
  <c r="G21" i="3"/>
  <c r="G20" i="3"/>
  <c r="G69" i="3"/>
  <c r="G68" i="3"/>
  <c r="G19" i="3"/>
  <c r="G18" i="3"/>
  <c r="G85" i="3"/>
  <c r="G84" i="3"/>
  <c r="G53" i="3"/>
  <c r="G52" i="3"/>
  <c r="G47" i="3"/>
  <c r="G46" i="3"/>
  <c r="G45" i="3"/>
  <c r="G39" i="3"/>
  <c r="G38" i="3"/>
  <c r="G66" i="3"/>
  <c r="G65" i="3"/>
  <c r="G13" i="3"/>
  <c r="G12" i="3"/>
  <c r="G78" i="3"/>
  <c r="G77" i="3"/>
  <c r="G76" i="3"/>
  <c r="G75" i="3"/>
  <c r="G74" i="3"/>
  <c r="G73" i="3"/>
  <c r="G72" i="3"/>
  <c r="G71" i="3"/>
  <c r="G51" i="3"/>
  <c r="G50" i="3"/>
  <c r="G49" i="3"/>
  <c r="G35" i="3"/>
  <c r="G34" i="3"/>
  <c r="G37" i="3"/>
  <c r="G36" i="3"/>
  <c r="H64" i="3" l="1"/>
  <c r="G81" i="3" l="1"/>
  <c r="G80" i="3"/>
  <c r="G82" i="3"/>
  <c r="H51" i="3" l="1"/>
  <c r="G59" i="3" l="1"/>
  <c r="H35" i="3" l="1"/>
  <c r="G48" i="3" l="1"/>
  <c r="N47" i="3" l="1"/>
  <c r="N46" i="3"/>
  <c r="H34" i="3" l="1"/>
  <c r="G23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charset val="1"/>
          </rPr>
          <t>Rejim:</t>
        </r>
        <r>
          <rPr>
            <sz val="9"/>
            <color indexed="81"/>
            <rFont val="Tahoma"/>
            <charset val="1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<sst xmlns="http://schemas.openxmlformats.org/spreadsheetml/2006/main" count="492" uniqueCount="312">
  <si>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</si>
  <si>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</si>
  <si>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</si>
  <si>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</si>
  <si>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</si>
  <si>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</si>
  <si>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</si>
  <si>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</si>
  <si>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</si>
  <si>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</si>
  <si>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</si>
  <si>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</si>
  <si>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</si>
  <si>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</si>
  <si>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</si>
  <si>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</si>
  <si>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</si>
  <si>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</si>
  <si>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</si>
  <si>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</si>
  <si>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</si>
  <si>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</si>
  <si>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</si>
  <si>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</si>
  <si>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</si>
  <si>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</si>
  <si>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</si>
  <si>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</si>
  <si>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</si>
  <si>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</si>
  <si>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</si>
  <si>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</si>
  <si>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</si>
  <si>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</si>
  <si>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</si>
  <si>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</si>
  <si>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</si>
  <si>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</si>
  <si>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</si>
  <si>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</si>
  <si>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</si>
  <si>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</si>
  <si>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</si>
  <si>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</si>
  <si>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</si>
  <si>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</si>
  <si>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</si>
  <si>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</si>
  <si>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</si>
  <si>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</si>
  <si>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</si>
  <si>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</si>
  <si>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</si>
  <si>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</si>
  <si>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</si>
  <si>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</si>
  <si>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</si>
  <si>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</si>
  <si>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</si>
  <si>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</si>
  <si>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</si>
  <si>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</si>
  <si>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</si>
  <si>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</si>
  <si>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</si>
  <si>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</si>
  <si>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</si>
  <si>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</si>
  <si>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</si>
  <si>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</si>
  <si>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</si>
  <si>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</si>
  <si>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</si>
  <si>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</si>
  <si>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</si>
  <si>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</si>
  <si>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</si>
  <si>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</si>
  <si>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</si>
  <si>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</si>
  <si>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</si>
  <si>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</si>
  <si>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</si>
  <si>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</si>
  <si>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</si>
  <si>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</si>
  <si>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</si>
  <si>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</si>
  <si>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</si>
  <si>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</si>
  <si>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</si>
  <si>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</si>
  <si>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</si>
  <si>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</si>
  <si>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</si>
  <si>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</si>
  <si>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</si>
  <si>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</si>
  <si>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</si>
  <si>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</si>
  <si>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</si>
  <si>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</si>
  <si>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</si>
  <si>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</si>
  <si>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</si>
  <si>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</si>
  <si>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</si>
  <si>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</si>
  <si>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</si>
  <si>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</si>
  <si>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</si>
  <si>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</si>
  <si>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</si>
  <si>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</si>
  <si>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</si>
  <si>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</si>
  <si>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</si>
  <si>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</si>
  <si>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</si>
  <si>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</si>
  <si>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</si>
  <si>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</si>
  <si>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</si>
  <si>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</si>
  <si>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</si>
  <si>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</si>
  <si>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</si>
  <si>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</si>
  <si>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</si>
  <si>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</si>
  <si>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</si>
  <si>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</si>
  <si>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</si>
  <si>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</si>
  <si>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</si>
  <si>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</si>
  <si>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</si>
  <si>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</si>
  <si>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</si>
  <si>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</si>
  <si>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</si>
  <si>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</si>
  <si>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</si>
  <si>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</si>
  <si>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</si>
  <si>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</si>
  <si>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</si>
  <si>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</si>
  <si>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</si>
  <si>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</si>
  <si>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</si>
  <si>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</si>
  <si>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</si>
  <si>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</si>
  <si>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</si>
  <si>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</si>
  <si>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</si>
  <si>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</si>
  <si>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</si>
  <si>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</si>
  <si>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</si>
  <si>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</si>
  <si>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</si>
  <si>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</si>
  <si>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</si>
  <si>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</si>
  <si>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</si>
  <si>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</si>
  <si>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</si>
  <si>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</si>
  <si>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</si>
  <si>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</si>
  <si>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</si>
  <si>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</si>
  <si>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</si>
  <si>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</si>
  <si>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</si>
  <si>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</si>
  <si>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</si>
  <si>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</si>
  <si>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</si>
  <si>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</si>
  <si>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</si>
  <si>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</si>
  <si>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</si>
  <si>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</si>
  <si>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</si>
  <si>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</si>
  <si>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</si>
  <si>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</si>
  <si>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</si>
  <si>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</si>
  <si>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</si>
  <si>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</si>
  <si>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</si>
  <si>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</si>
  <si>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</si>
  <si>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</si>
  <si>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</si>
  <si>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</si>
  <si>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</si>
  <si>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</si>
  <si>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</si>
  <si>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</si>
  <si>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</si>
  <si>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</si>
  <si>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</si>
  <si>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</si>
  <si>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</si>
  <si>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</si>
  <si>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</si>
  <si>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</si>
  <si>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</si>
  <si>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</si>
  <si>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</si>
  <si>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</si>
  <si>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</si>
  <si>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</si>
  <si>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</si>
  <si>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</si>
  <si>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</si>
  <si>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</si>
  <si>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</si>
  <si>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</si>
  <si>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</si>
  <si>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</si>
  <si>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</si>
  <si>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</si>
  <si>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</si>
  <si>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</si>
  <si>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</si>
  <si>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</si>
  <si>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</si>
  <si>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</si>
  <si>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</si>
  <si>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</si>
  <si>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</si>
  <si>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</si>
  <si>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</si>
  <si>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</si>
  <si>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</si>
  <si>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</si>
  <si>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</si>
  <si>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</si>
  <si>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</si>
  <si>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</si>
  <si>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</si>
  <si>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</si>
  <si>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</si>
  <si>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</si>
  <si>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</si>
  <si>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</si>
  <si>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</si>
  <si>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</si>
  <si>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</si>
  <si>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</si>
  <si>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</si>
  <si>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</si>
  <si>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</si>
  <si>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</si>
  <si>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</si>
  <si>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</si>
  <si>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</si>
  <si>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</si>
  <si>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</si>
  <si>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</si>
  <si>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</si>
  <si>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</si>
  <si>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</si>
  <si>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</si>
  <si>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</si>
  <si>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</si>
  <si>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</si>
  <si>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</si>
  <si>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</si>
  <si>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</si>
  <si>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</si>
  <si>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</si>
  <si>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</si>
  <si>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</si>
  <si>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</si>
  <si>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</si>
  <si>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</si>
  <si>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</si>
  <si>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</si>
  <si>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</si>
  <si>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</si>
  <si>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</si>
  <si>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</si>
  <si>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</si>
  <si>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</si>
  <si>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</si>
  <si>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</si>
  <si>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</si>
  <si>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</si>
  <si>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</si>
  <si>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</si>
  <si>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</si>
  <si>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</si>
  <si>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</si>
  <si>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</si>
  <si>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</si>
  <si>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</si>
  <si>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</si>
  <si>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</si>
  <si>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</si>
  <si>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</si>
  <si>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</si>
  <si>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</si>
  <si>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</si>
  <si>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Июль 2024 года</t>
  </si>
  <si>
    <t>за июль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</si>
</sst>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8" fontId="4" fillId="0" borderId="3" xfId="2" applyNumberFormat="1" applyFont="1" applyFill="1" applyBorder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0" fontId="4" fillId="2" borderId="6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169" fontId="4" fillId="2" borderId="0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11" fillId="2" borderId="0" xfId="3" applyFont="1" applyFill="1" applyAlignment="1">
      <alignment horizontal="right"/>
    </xf>
    <xf numFmtId="169" fontId="4" fillId="3" borderId="24" xfId="3" applyNumberFormat="1" applyFont="1" applyFill="1" applyBorder="1" applyAlignment="1">
      <alignment horizontal="center"/>
    </xf>
    <xf numFmtId="165" fontId="2" fillId="0" borderId="31" xfId="1" applyNumberFormat="1" applyFont="1" applyFill="1" applyBorder="1" applyAlignment="1">
      <alignment horizontal="right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opLeftCell="A85" zoomScale="85" zoomScaleNormal="85" zoomScaleSheetLayoutView="135" workbookViewId="0">
      <selection activeCell="G102" sqref="G102"/>
    </sheetView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1.21875" style="70" customWidth="1"/>
    <col min="5" max="5" width="17.5546875" style="81" customWidth="1"/>
    <col min="6" max="6" width="14.21875" style="70" customWidth="1"/>
    <col min="7" max="7" width="12.21875" style="70" customWidth="1"/>
    <col min="8" max="8" width="12.21875" style="76" customWidth="1"/>
    <col min="9" max="9" width="11.77734375" style="76" customWidth="1"/>
    <col min="10" max="13" width="9.21875" style="76" hidden="1" customWidth="1"/>
    <col min="14" max="16" width="9.21875" style="76" customWidth="1"/>
    <col min="17" max="19" width="9.21875" style="76" hidden="1" customWidth="1"/>
    <col min="20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4"/>
      <c r="G1" s="167"/>
      <c r="H1" s="64" t="s">
        <v>126</v>
      </c>
      <c r="I1" s="75"/>
      <c r="R1" s="77" t="s">
        <v>127</v>
      </c>
      <c r="S1" s="78"/>
      <c r="T1" s="78"/>
    </row>
    <row r="2" spans="1:20" ht="18" x14ac:dyDescent="0.35">
      <c r="B2" s="79"/>
      <c r="C2" s="80"/>
      <c r="D2" s="80"/>
      <c r="F2" s="65"/>
      <c r="G2" s="65"/>
      <c r="H2" s="65" t="s">
        <v>1</v>
      </c>
      <c r="I2" s="82"/>
      <c r="R2" s="77" t="s">
        <v>128</v>
      </c>
      <c r="S2" s="78"/>
      <c r="T2" s="78"/>
    </row>
    <row r="3" spans="1:20" ht="18" x14ac:dyDescent="0.35">
      <c r="B3" s="64"/>
      <c r="C3" s="64"/>
      <c r="D3" s="64"/>
      <c r="E3" s="64"/>
      <c r="F3" s="154"/>
      <c r="G3" s="167"/>
      <c r="H3" s="64" t="s">
        <v>2</v>
      </c>
      <c r="I3" s="82"/>
      <c r="R3" s="77" t="s">
        <v>129</v>
      </c>
      <c r="S3" s="78"/>
      <c r="T3" s="78"/>
    </row>
    <row r="4" spans="1:20" ht="18" x14ac:dyDescent="0.35">
      <c r="A4" s="83"/>
      <c r="B4" s="83"/>
      <c r="C4" s="84"/>
      <c r="D4" s="84" t="s">
        <v>130</v>
      </c>
      <c r="E4" s="85"/>
      <c r="F4" s="83"/>
      <c r="G4" s="66"/>
      <c r="H4" s="66" t="s">
        <v>131</v>
      </c>
      <c r="I4" s="82"/>
      <c r="R4" s="77" t="s">
        <v>132</v>
      </c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73" t="s">
        <v>311</v>
      </c>
      <c r="H5" s="173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133</v>
      </c>
      <c r="E6" s="90" t="s">
        <v>134</v>
      </c>
      <c r="F6" s="89" t="s">
        <v>135</v>
      </c>
      <c r="G6" s="174" t="s">
        <v>136</v>
      </c>
      <c r="H6" s="90" t="s">
        <v>137</v>
      </c>
      <c r="R6" s="77" t="s">
        <v>138</v>
      </c>
      <c r="S6" s="78"/>
      <c r="T6" s="78"/>
    </row>
    <row r="7" spans="1:20" x14ac:dyDescent="0.3">
      <c r="A7" s="91" t="s">
        <v>139</v>
      </c>
      <c r="B7" s="92" t="s">
        <v>140</v>
      </c>
      <c r="C7" s="92" t="s">
        <v>6</v>
      </c>
      <c r="D7" s="92" t="s">
        <v>141</v>
      </c>
      <c r="E7" s="93" t="s">
        <v>142</v>
      </c>
      <c r="F7" s="92" t="s">
        <v>143</v>
      </c>
      <c r="G7" s="175"/>
      <c r="H7" s="93" t="s">
        <v>144</v>
      </c>
    </row>
    <row r="8" spans="1:20" ht="16.2" thickBot="1" x14ac:dyDescent="0.35">
      <c r="A8" s="94"/>
      <c r="B8" s="95"/>
      <c r="C8" s="95"/>
      <c r="D8" s="95"/>
      <c r="E8" s="67" t="s">
        <v>145</v>
      </c>
      <c r="F8" s="96" t="s">
        <v>146</v>
      </c>
      <c r="G8" s="67" t="s">
        <v>147</v>
      </c>
      <c r="H8" s="67" t="s">
        <v>147</v>
      </c>
    </row>
    <row r="9" spans="1:20" x14ac:dyDescent="0.3">
      <c r="A9" s="97"/>
      <c r="B9" s="98" t="s">
        <v>299</v>
      </c>
      <c r="C9" s="98"/>
      <c r="D9" s="98"/>
      <c r="E9" s="99"/>
      <c r="F9" s="98"/>
      <c r="G9" s="163"/>
      <c r="H9" s="100">
        <v>744</v>
      </c>
    </row>
    <row r="10" spans="1:20" x14ac:dyDescent="0.3">
      <c r="A10" s="101" t="s">
        <v>148</v>
      </c>
      <c r="B10" s="102" t="s">
        <v>149</v>
      </c>
      <c r="C10" s="102"/>
      <c r="D10" s="102"/>
      <c r="E10" s="103"/>
      <c r="F10" s="104"/>
      <c r="G10" s="68"/>
      <c r="H10" s="105"/>
    </row>
    <row r="11" spans="1:20" x14ac:dyDescent="0.3">
      <c r="A11" s="69"/>
      <c r="B11" s="106" t="s">
        <v>150</v>
      </c>
      <c r="C11" s="106"/>
      <c r="D11" s="106"/>
      <c r="E11" s="103"/>
      <c r="F11" s="68"/>
      <c r="G11" s="68"/>
      <c r="H11" s="105"/>
    </row>
    <row r="12" spans="1:20" x14ac:dyDescent="0.3">
      <c r="A12" s="69" t="s">
        <v>151</v>
      </c>
      <c r="B12" s="104" t="s">
        <v>152</v>
      </c>
      <c r="C12" s="107" t="s">
        <v>153</v>
      </c>
      <c r="D12" s="107"/>
      <c r="E12" s="68" t="s">
        <v>154</v>
      </c>
      <c r="F12" s="68">
        <v>63000</v>
      </c>
      <c r="G12" s="152">
        <f>(8488392+84930)/H9/1000</f>
        <v>11.523282258064517</v>
      </c>
      <c r="H12" s="108">
        <f>F12/1000-G12</f>
        <v>51.476717741935481</v>
      </c>
      <c r="I12" s="109"/>
      <c r="N12" s="110"/>
    </row>
    <row r="13" spans="1:20" x14ac:dyDescent="0.3">
      <c r="A13" s="69"/>
      <c r="B13" s="104"/>
      <c r="C13" s="107" t="s">
        <v>155</v>
      </c>
      <c r="D13" s="107"/>
      <c r="E13" s="68" t="s">
        <v>156</v>
      </c>
      <c r="F13" s="68">
        <v>63000</v>
      </c>
      <c r="G13" s="152">
        <f>(859376+71400)/H9/1000</f>
        <v>1.2510430107526882</v>
      </c>
      <c r="H13" s="108">
        <f>F13/1000-G13</f>
        <v>61.748956989247311</v>
      </c>
      <c r="I13" s="109"/>
      <c r="N13" s="110"/>
    </row>
    <row r="14" spans="1:20" x14ac:dyDescent="0.3">
      <c r="A14" s="69"/>
      <c r="B14" s="106" t="s">
        <v>157</v>
      </c>
      <c r="C14" s="106"/>
      <c r="D14" s="106"/>
      <c r="E14" s="68"/>
      <c r="F14" s="68"/>
      <c r="G14" s="164"/>
      <c r="H14" s="108"/>
      <c r="I14" s="109"/>
      <c r="N14" s="110"/>
    </row>
    <row r="15" spans="1:20" x14ac:dyDescent="0.3">
      <c r="A15" s="69" t="s">
        <v>158</v>
      </c>
      <c r="B15" s="104" t="s">
        <v>159</v>
      </c>
      <c r="C15" s="104"/>
      <c r="D15" s="104"/>
      <c r="E15" s="68" t="s">
        <v>160</v>
      </c>
      <c r="F15" s="68">
        <v>6300</v>
      </c>
      <c r="G15" s="152">
        <f>318486/H9/1000</f>
        <v>0.42807258064516129</v>
      </c>
      <c r="H15" s="108">
        <f t="shared" ref="H15:H21" si="0">F15/1000-G15</f>
        <v>5.8719274193548383</v>
      </c>
      <c r="I15" s="109"/>
      <c r="N15" s="110"/>
    </row>
    <row r="16" spans="1:20" x14ac:dyDescent="0.3">
      <c r="A16" s="69" t="s">
        <v>161</v>
      </c>
      <c r="B16" s="104" t="s">
        <v>162</v>
      </c>
      <c r="C16" s="104" t="s">
        <v>163</v>
      </c>
      <c r="D16" s="104"/>
      <c r="E16" s="111">
        <v>11.1</v>
      </c>
      <c r="F16" s="68">
        <v>16000</v>
      </c>
      <c r="G16" s="152">
        <f>285854/H9/1000</f>
        <v>0.38421236559139782</v>
      </c>
      <c r="H16" s="108">
        <f t="shared" si="0"/>
        <v>15.615787634408601</v>
      </c>
      <c r="I16" s="109"/>
      <c r="N16" s="110"/>
    </row>
    <row r="17" spans="1:14" x14ac:dyDescent="0.3">
      <c r="A17" s="69"/>
      <c r="B17" s="104"/>
      <c r="C17" s="104" t="s">
        <v>164</v>
      </c>
      <c r="D17" s="104"/>
      <c r="E17" s="111">
        <v>11.1</v>
      </c>
      <c r="F17" s="68">
        <v>16000</v>
      </c>
      <c r="G17" s="152">
        <f>125639/H9/1000</f>
        <v>0.16886962365591399</v>
      </c>
      <c r="H17" s="108">
        <f t="shared" si="0"/>
        <v>15.831130376344086</v>
      </c>
      <c r="I17" s="109"/>
      <c r="N17" s="110"/>
    </row>
    <row r="18" spans="1:14" x14ac:dyDescent="0.3">
      <c r="A18" s="69" t="s">
        <v>165</v>
      </c>
      <c r="B18" s="104" t="s">
        <v>166</v>
      </c>
      <c r="C18" s="104" t="s">
        <v>163</v>
      </c>
      <c r="D18" s="104"/>
      <c r="E18" s="68" t="s">
        <v>167</v>
      </c>
      <c r="F18" s="68">
        <v>16000</v>
      </c>
      <c r="G18" s="152">
        <f>233964/H9/1000</f>
        <v>0.31446774193548382</v>
      </c>
      <c r="H18" s="108">
        <f t="shared" si="0"/>
        <v>15.685532258064516</v>
      </c>
      <c r="I18" s="109"/>
      <c r="N18" s="110"/>
    </row>
    <row r="19" spans="1:14" x14ac:dyDescent="0.3">
      <c r="A19" s="69"/>
      <c r="B19" s="104"/>
      <c r="C19" s="104" t="s">
        <v>164</v>
      </c>
      <c r="D19" s="104"/>
      <c r="E19" s="68" t="s">
        <v>168</v>
      </c>
      <c r="F19" s="68">
        <v>16000</v>
      </c>
      <c r="G19" s="152">
        <f>453852/H9/1000</f>
        <v>0.6100161290322581</v>
      </c>
      <c r="H19" s="108">
        <f t="shared" si="0"/>
        <v>15.389983870967741</v>
      </c>
      <c r="I19" s="109"/>
      <c r="N19" s="110"/>
    </row>
    <row r="20" spans="1:14" x14ac:dyDescent="0.3">
      <c r="A20" s="69" t="s">
        <v>169</v>
      </c>
      <c r="B20" s="104" t="s">
        <v>170</v>
      </c>
      <c r="C20" s="104" t="s">
        <v>163</v>
      </c>
      <c r="D20" s="104"/>
      <c r="E20" s="68" t="s">
        <v>171</v>
      </c>
      <c r="F20" s="68">
        <v>40000</v>
      </c>
      <c r="G20" s="152">
        <f>1365320/H9/1000</f>
        <v>1.8351075268817203</v>
      </c>
      <c r="H20" s="108">
        <f t="shared" si="0"/>
        <v>38.164892473118279</v>
      </c>
      <c r="I20" s="109"/>
      <c r="N20" s="110"/>
    </row>
    <row r="21" spans="1:14" x14ac:dyDescent="0.3">
      <c r="A21" s="69"/>
      <c r="B21" s="104"/>
      <c r="C21" s="104" t="s">
        <v>164</v>
      </c>
      <c r="D21" s="104"/>
      <c r="E21" s="68" t="s">
        <v>172</v>
      </c>
      <c r="F21" s="68">
        <v>40000</v>
      </c>
      <c r="G21" s="152">
        <f>740080/H9/1000</f>
        <v>0.99473118279569894</v>
      </c>
      <c r="H21" s="108">
        <f t="shared" si="0"/>
        <v>39.005268817204303</v>
      </c>
      <c r="I21" s="109"/>
      <c r="N21" s="110"/>
    </row>
    <row r="22" spans="1:14" x14ac:dyDescent="0.3">
      <c r="A22" s="69" t="s">
        <v>176</v>
      </c>
      <c r="B22" s="104" t="s">
        <v>177</v>
      </c>
      <c r="C22" s="104"/>
      <c r="D22" s="104"/>
      <c r="E22" s="68" t="s">
        <v>178</v>
      </c>
      <c r="F22" s="68">
        <v>10000</v>
      </c>
      <c r="G22" s="152">
        <f>(678216+0)/H9/1000</f>
        <v>0.91158064516129034</v>
      </c>
      <c r="H22" s="108">
        <f>F22/1000-G22</f>
        <v>9.0884193548387096</v>
      </c>
      <c r="I22" s="109"/>
      <c r="N22" s="110"/>
    </row>
    <row r="23" spans="1:14" x14ac:dyDescent="0.3">
      <c r="A23" s="69"/>
      <c r="B23" s="104"/>
      <c r="C23" s="104"/>
      <c r="D23" s="104"/>
      <c r="E23" s="68" t="s">
        <v>174</v>
      </c>
      <c r="F23" s="68">
        <v>2500</v>
      </c>
      <c r="G23" s="152">
        <f>(0+0)/H9/1000</f>
        <v>0</v>
      </c>
      <c r="H23" s="108">
        <f>F23/1000-G23</f>
        <v>2.5</v>
      </c>
      <c r="I23" s="109"/>
      <c r="N23" s="110"/>
    </row>
    <row r="24" spans="1:14" x14ac:dyDescent="0.3">
      <c r="A24" s="69" t="s">
        <v>179</v>
      </c>
      <c r="B24" s="104" t="s">
        <v>180</v>
      </c>
      <c r="C24" s="104" t="s">
        <v>181</v>
      </c>
      <c r="D24" s="104"/>
      <c r="E24" s="68" t="s">
        <v>182</v>
      </c>
      <c r="F24" s="68">
        <v>6300</v>
      </c>
      <c r="G24" s="152">
        <f>(366212)/H9/1000</f>
        <v>0.49222043010752692</v>
      </c>
      <c r="H24" s="108">
        <f>F24/1000-G24</f>
        <v>5.8077795698924728</v>
      </c>
      <c r="I24" s="109"/>
      <c r="N24" s="110"/>
    </row>
    <row r="25" spans="1:14" x14ac:dyDescent="0.3">
      <c r="A25" s="69"/>
      <c r="B25" s="106" t="s">
        <v>183</v>
      </c>
      <c r="C25" s="106"/>
      <c r="D25" s="106"/>
      <c r="E25" s="68"/>
      <c r="F25" s="68"/>
      <c r="G25" s="164"/>
      <c r="H25" s="108"/>
      <c r="I25" s="109"/>
      <c r="N25" s="110"/>
    </row>
    <row r="26" spans="1:14" x14ac:dyDescent="0.3">
      <c r="A26" s="69" t="s">
        <v>184</v>
      </c>
      <c r="B26" s="104" t="s">
        <v>185</v>
      </c>
      <c r="C26" s="104" t="s">
        <v>163</v>
      </c>
      <c r="D26" s="104"/>
      <c r="E26" s="111" t="s">
        <v>186</v>
      </c>
      <c r="F26" s="68">
        <v>1000</v>
      </c>
      <c r="G26" s="152">
        <f>100794/H9/1000</f>
        <v>0.13547580645161289</v>
      </c>
      <c r="H26" s="108">
        <f>F26/1000-G26</f>
        <v>0.86452419354838717</v>
      </c>
      <c r="I26" s="109"/>
      <c r="N26" s="110"/>
    </row>
    <row r="27" spans="1:14" x14ac:dyDescent="0.3">
      <c r="A27" s="69"/>
      <c r="B27" s="104"/>
      <c r="C27" s="104" t="s">
        <v>164</v>
      </c>
      <c r="D27" s="104"/>
      <c r="E27" s="68" t="s">
        <v>174</v>
      </c>
      <c r="F27" s="68">
        <v>6300</v>
      </c>
      <c r="G27" s="152" t="s">
        <v>175</v>
      </c>
      <c r="H27" s="108"/>
      <c r="I27" s="109"/>
      <c r="N27" s="110"/>
    </row>
    <row r="28" spans="1:14" x14ac:dyDescent="0.3">
      <c r="A28" s="69" t="s">
        <v>187</v>
      </c>
      <c r="B28" s="104" t="s">
        <v>188</v>
      </c>
      <c r="C28" s="104" t="s">
        <v>189</v>
      </c>
      <c r="D28" s="104"/>
      <c r="E28" s="111">
        <v>11.1</v>
      </c>
      <c r="F28" s="68">
        <v>1000</v>
      </c>
      <c r="G28" s="152">
        <f>15532/H9/1000</f>
        <v>2.0876344086021504E-2</v>
      </c>
      <c r="H28" s="108">
        <f>F28/1000-G28</f>
        <v>0.97912365591397854</v>
      </c>
      <c r="I28" s="109"/>
      <c r="N28" s="110"/>
    </row>
    <row r="29" spans="1:14" x14ac:dyDescent="0.3">
      <c r="A29" s="69" t="s">
        <v>190</v>
      </c>
      <c r="B29" s="104" t="s">
        <v>191</v>
      </c>
      <c r="C29" s="104"/>
      <c r="D29" s="104"/>
      <c r="E29" s="111">
        <v>11.1</v>
      </c>
      <c r="F29" s="68">
        <v>1000</v>
      </c>
      <c r="G29" s="152">
        <v>0</v>
      </c>
      <c r="H29" s="108">
        <f>F29/1000-G29</f>
        <v>1</v>
      </c>
      <c r="I29" s="109"/>
      <c r="N29" s="110"/>
    </row>
    <row r="30" spans="1:14" x14ac:dyDescent="0.3">
      <c r="A30" s="69" t="s">
        <v>194</v>
      </c>
      <c r="B30" s="104" t="s">
        <v>303</v>
      </c>
      <c r="C30" s="104" t="s">
        <v>163</v>
      </c>
      <c r="D30" s="104"/>
      <c r="E30" s="68" t="s">
        <v>304</v>
      </c>
      <c r="F30" s="68">
        <v>6300</v>
      </c>
      <c r="G30" s="152">
        <f>34293/H9/1000</f>
        <v>4.609274193548387E-2</v>
      </c>
      <c r="H30" s="108">
        <f>F30/1000-G30</f>
        <v>6.2539072580645163</v>
      </c>
      <c r="I30" s="109"/>
      <c r="N30" s="110"/>
    </row>
    <row r="31" spans="1:14" x14ac:dyDescent="0.3">
      <c r="A31" s="69"/>
      <c r="B31" s="104"/>
      <c r="C31" s="104" t="s">
        <v>164</v>
      </c>
      <c r="D31" s="104"/>
      <c r="E31" s="68" t="s">
        <v>174</v>
      </c>
      <c r="F31" s="68">
        <v>6300</v>
      </c>
      <c r="G31" s="152" t="s">
        <v>175</v>
      </c>
      <c r="H31" s="108"/>
      <c r="I31" s="109"/>
      <c r="N31" s="110"/>
    </row>
    <row r="32" spans="1:14" x14ac:dyDescent="0.3">
      <c r="A32" s="101" t="s">
        <v>192</v>
      </c>
      <c r="B32" s="102" t="s">
        <v>193</v>
      </c>
      <c r="C32" s="102"/>
      <c r="D32" s="102"/>
      <c r="E32" s="68"/>
      <c r="F32" s="68"/>
      <c r="G32" s="164"/>
      <c r="H32" s="108"/>
      <c r="I32" s="109"/>
      <c r="N32" s="110"/>
    </row>
    <row r="33" spans="1:14" x14ac:dyDescent="0.3">
      <c r="A33" s="101"/>
      <c r="B33" s="106" t="s">
        <v>150</v>
      </c>
      <c r="C33" s="106"/>
      <c r="D33" s="106"/>
      <c r="E33" s="68"/>
      <c r="F33" s="68"/>
      <c r="G33" s="164"/>
      <c r="H33" s="108"/>
      <c r="I33" s="109"/>
      <c r="N33" s="110"/>
    </row>
    <row r="34" spans="1:14" x14ac:dyDescent="0.3">
      <c r="A34" s="69" t="s">
        <v>198</v>
      </c>
      <c r="B34" s="104" t="s">
        <v>195</v>
      </c>
      <c r="C34" s="104" t="s">
        <v>163</v>
      </c>
      <c r="D34" s="104"/>
      <c r="E34" s="68" t="s">
        <v>196</v>
      </c>
      <c r="F34" s="68">
        <v>25000</v>
      </c>
      <c r="G34" s="152">
        <f>(9190368)/H9/1000</f>
        <v>12.352645161290322</v>
      </c>
      <c r="H34" s="108">
        <f>F34/1000-G34</f>
        <v>12.647354838709678</v>
      </c>
      <c r="I34" s="109"/>
      <c r="N34" s="110"/>
    </row>
    <row r="35" spans="1:14" x14ac:dyDescent="0.3">
      <c r="A35" s="69"/>
      <c r="B35" s="68"/>
      <c r="C35" s="104" t="s">
        <v>164</v>
      </c>
      <c r="D35" s="104"/>
      <c r="E35" s="68" t="s">
        <v>197</v>
      </c>
      <c r="F35" s="68">
        <v>25000</v>
      </c>
      <c r="G35" s="152">
        <f>(12831456)/H9/1000</f>
        <v>17.246580645161291</v>
      </c>
      <c r="H35" s="108">
        <f>F35/1000-G35</f>
        <v>7.7534193548387087</v>
      </c>
      <c r="I35" s="109"/>
      <c r="N35" s="110"/>
    </row>
    <row r="36" spans="1:14" x14ac:dyDescent="0.3">
      <c r="A36" s="69" t="s">
        <v>202</v>
      </c>
      <c r="B36" s="104" t="s">
        <v>199</v>
      </c>
      <c r="C36" s="104" t="s">
        <v>163</v>
      </c>
      <c r="D36" s="104"/>
      <c r="E36" s="68" t="s">
        <v>200</v>
      </c>
      <c r="F36" s="68">
        <v>40000</v>
      </c>
      <c r="G36" s="152">
        <f>2618616/H9/1000</f>
        <v>3.5196451612903226</v>
      </c>
      <c r="H36" s="108">
        <f t="shared" ref="H36:H41" si="1">F36/1000-G36</f>
        <v>36.48035483870968</v>
      </c>
      <c r="I36" s="109"/>
      <c r="N36" s="110"/>
    </row>
    <row r="37" spans="1:14" x14ac:dyDescent="0.3">
      <c r="A37" s="69"/>
      <c r="B37" s="68"/>
      <c r="C37" s="104" t="s">
        <v>164</v>
      </c>
      <c r="D37" s="104"/>
      <c r="E37" s="68" t="s">
        <v>201</v>
      </c>
      <c r="F37" s="68">
        <v>40000</v>
      </c>
      <c r="G37" s="152">
        <f>2748240/H9/1000</f>
        <v>3.6938709677419355</v>
      </c>
      <c r="H37" s="108">
        <f t="shared" si="1"/>
        <v>36.306129032258063</v>
      </c>
      <c r="I37" s="109"/>
      <c r="N37" s="110"/>
    </row>
    <row r="38" spans="1:14" x14ac:dyDescent="0.3">
      <c r="A38" s="69" t="s">
        <v>212</v>
      </c>
      <c r="B38" s="104" t="s">
        <v>203</v>
      </c>
      <c r="C38" s="104" t="s">
        <v>163</v>
      </c>
      <c r="D38" s="104"/>
      <c r="E38" s="68" t="s">
        <v>204</v>
      </c>
      <c r="F38" s="68">
        <v>20000</v>
      </c>
      <c r="G38" s="152">
        <f>4536048/H9/1000</f>
        <v>6.0968387096774199</v>
      </c>
      <c r="H38" s="108">
        <f t="shared" si="1"/>
        <v>13.903161290322579</v>
      </c>
      <c r="I38" s="109"/>
      <c r="N38" s="110"/>
    </row>
    <row r="39" spans="1:14" x14ac:dyDescent="0.3">
      <c r="A39" s="69"/>
      <c r="B39" s="68"/>
      <c r="C39" s="104" t="s">
        <v>164</v>
      </c>
      <c r="D39" s="104"/>
      <c r="E39" s="68" t="s">
        <v>205</v>
      </c>
      <c r="F39" s="68">
        <v>20000</v>
      </c>
      <c r="G39" s="152">
        <f>2796112/H9/1000</f>
        <v>3.7582150537634407</v>
      </c>
      <c r="H39" s="108">
        <f t="shared" si="1"/>
        <v>16.24178494623656</v>
      </c>
      <c r="I39" s="109"/>
      <c r="N39" s="110"/>
    </row>
    <row r="40" spans="1:14" x14ac:dyDescent="0.3">
      <c r="A40" s="101"/>
      <c r="B40" s="104" t="s">
        <v>206</v>
      </c>
      <c r="C40" s="104" t="s">
        <v>207</v>
      </c>
      <c r="D40" s="104"/>
      <c r="E40" s="68" t="s">
        <v>208</v>
      </c>
      <c r="F40" s="68">
        <v>10000</v>
      </c>
      <c r="G40" s="152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206</v>
      </c>
      <c r="C41" s="104" t="s">
        <v>209</v>
      </c>
      <c r="D41" s="104"/>
      <c r="E41" s="68" t="s">
        <v>210</v>
      </c>
      <c r="F41" s="68">
        <v>10000</v>
      </c>
      <c r="G41" s="152">
        <f>21/H9/1000</f>
        <v>2.8225806451612902E-5</v>
      </c>
      <c r="H41" s="108">
        <f t="shared" si="1"/>
        <v>9.9999717741935488</v>
      </c>
      <c r="I41" s="109"/>
      <c r="N41" s="110"/>
    </row>
    <row r="42" spans="1:14" x14ac:dyDescent="0.3">
      <c r="A42" s="69"/>
      <c r="B42" s="106" t="s">
        <v>211</v>
      </c>
      <c r="C42" s="106"/>
      <c r="D42" s="106"/>
      <c r="E42" s="68"/>
      <c r="F42" s="68"/>
      <c r="G42" s="164"/>
      <c r="H42" s="108"/>
      <c r="I42" s="109"/>
      <c r="N42" s="110"/>
    </row>
    <row r="43" spans="1:14" x14ac:dyDescent="0.3">
      <c r="A43" s="69" t="s">
        <v>213</v>
      </c>
      <c r="B43" s="104" t="s">
        <v>307</v>
      </c>
      <c r="C43" s="104" t="s">
        <v>214</v>
      </c>
      <c r="D43" s="104"/>
      <c r="E43" s="68" t="s">
        <v>306</v>
      </c>
      <c r="F43" s="68">
        <v>6300</v>
      </c>
      <c r="G43" s="152">
        <f>184712/H9/1000</f>
        <v>0.24826881720430108</v>
      </c>
      <c r="H43" s="108">
        <f>F43/1000-G43</f>
        <v>6.0517311827956988</v>
      </c>
      <c r="I43" s="109"/>
      <c r="J43" s="76" t="s">
        <v>215</v>
      </c>
      <c r="L43" s="112"/>
      <c r="N43" s="110"/>
    </row>
    <row r="44" spans="1:14" x14ac:dyDescent="0.3">
      <c r="A44" s="69"/>
      <c r="B44" s="106" t="s">
        <v>183</v>
      </c>
      <c r="C44" s="106"/>
      <c r="D44" s="106"/>
      <c r="E44" s="68"/>
      <c r="F44" s="68"/>
      <c r="G44" s="164"/>
      <c r="H44" s="108"/>
      <c r="I44" s="109"/>
      <c r="N44" s="110"/>
    </row>
    <row r="45" spans="1:14" x14ac:dyDescent="0.3">
      <c r="A45" s="69" t="s">
        <v>216</v>
      </c>
      <c r="B45" s="104" t="s">
        <v>305</v>
      </c>
      <c r="C45" s="104"/>
      <c r="D45" s="104"/>
      <c r="E45" s="68" t="s">
        <v>308</v>
      </c>
      <c r="F45" s="68">
        <v>6300</v>
      </c>
      <c r="G45" s="152">
        <f>736542/H9/1000</f>
        <v>0.98997580645161287</v>
      </c>
      <c r="H45" s="108">
        <f>F45/1000-G45</f>
        <v>5.3100241935483865</v>
      </c>
      <c r="I45" s="109"/>
      <c r="N45" s="110"/>
    </row>
    <row r="46" spans="1:14" x14ac:dyDescent="0.3">
      <c r="A46" s="69" t="s">
        <v>219</v>
      </c>
      <c r="B46" s="104" t="s">
        <v>217</v>
      </c>
      <c r="C46" s="104"/>
      <c r="D46" s="104"/>
      <c r="E46" s="68" t="s">
        <v>218</v>
      </c>
      <c r="F46" s="68">
        <v>2500</v>
      </c>
      <c r="G46" s="152">
        <f>8102/H9/1000</f>
        <v>1.0889784946236559E-2</v>
      </c>
      <c r="H46" s="108">
        <f t="shared" ref="H46:H53" si="2">F46/1000-G46</f>
        <v>2.4891102150537634</v>
      </c>
      <c r="I46" s="109"/>
      <c r="N46" s="152" t="e">
        <f>96642/O24/1000</f>
        <v>#DIV/0!</v>
      </c>
    </row>
    <row r="47" spans="1:14" x14ac:dyDescent="0.3">
      <c r="A47" s="69" t="s">
        <v>222</v>
      </c>
      <c r="B47" s="104" t="s">
        <v>220</v>
      </c>
      <c r="C47" s="104"/>
      <c r="D47" s="104"/>
      <c r="E47" s="68" t="s">
        <v>221</v>
      </c>
      <c r="F47" s="68">
        <v>6300</v>
      </c>
      <c r="G47" s="152">
        <f>294718/H9/1000</f>
        <v>0.39612634408602149</v>
      </c>
      <c r="H47" s="108">
        <f t="shared" si="2"/>
        <v>5.9038736559139782</v>
      </c>
      <c r="I47" s="109"/>
      <c r="N47" s="152" t="e">
        <f>1845795/O24/1000</f>
        <v>#DIV/0!</v>
      </c>
    </row>
    <row r="48" spans="1:14" x14ac:dyDescent="0.3">
      <c r="A48" s="69" t="s">
        <v>225</v>
      </c>
      <c r="B48" s="104" t="s">
        <v>223</v>
      </c>
      <c r="C48" s="104" t="s">
        <v>163</v>
      </c>
      <c r="D48" s="104"/>
      <c r="E48" s="68" t="s">
        <v>174</v>
      </c>
      <c r="F48" s="68">
        <v>2500</v>
      </c>
      <c r="G48" s="152">
        <f>0/H9/1000</f>
        <v>0</v>
      </c>
      <c r="H48" s="108">
        <f t="shared" si="2"/>
        <v>2.5</v>
      </c>
      <c r="I48" s="109"/>
      <c r="N48" s="110"/>
    </row>
    <row r="49" spans="1:14" x14ac:dyDescent="0.3">
      <c r="A49" s="69"/>
      <c r="B49" s="104"/>
      <c r="C49" s="104" t="s">
        <v>164</v>
      </c>
      <c r="D49" s="104"/>
      <c r="E49" s="68" t="s">
        <v>224</v>
      </c>
      <c r="F49" s="68">
        <v>2500</v>
      </c>
      <c r="G49" s="152">
        <f>337960/H9/1000</f>
        <v>0.45424731182795697</v>
      </c>
      <c r="H49" s="108">
        <f t="shared" si="2"/>
        <v>2.0457526881720431</v>
      </c>
      <c r="I49" s="109"/>
      <c r="N49" s="110"/>
    </row>
    <row r="50" spans="1:14" x14ac:dyDescent="0.3">
      <c r="A50" s="69" t="s">
        <v>228</v>
      </c>
      <c r="B50" s="104" t="s">
        <v>226</v>
      </c>
      <c r="C50" s="104" t="s">
        <v>163</v>
      </c>
      <c r="D50" s="104"/>
      <c r="E50" s="68">
        <v>6.62</v>
      </c>
      <c r="F50" s="68">
        <v>1800</v>
      </c>
      <c r="G50" s="152">
        <f>1848/H9/1000</f>
        <v>2.4838709677419356E-3</v>
      </c>
      <c r="H50" s="108">
        <f t="shared" si="2"/>
        <v>1.7975161290322581</v>
      </c>
      <c r="I50" s="109"/>
      <c r="N50" s="110"/>
    </row>
    <row r="51" spans="1:14" x14ac:dyDescent="0.3">
      <c r="A51" s="113"/>
      <c r="B51" s="103" t="s">
        <v>227</v>
      </c>
      <c r="C51" s="104" t="s">
        <v>164</v>
      </c>
      <c r="D51" s="104"/>
      <c r="E51" s="68">
        <v>11.1</v>
      </c>
      <c r="F51" s="68">
        <v>1600</v>
      </c>
      <c r="G51" s="152">
        <f>952686/H9/1000</f>
        <v>1.2804919354838711</v>
      </c>
      <c r="H51" s="108">
        <f>F51/1000-G51</f>
        <v>0.31950806451612901</v>
      </c>
      <c r="I51" s="109"/>
      <c r="N51" s="110"/>
    </row>
    <row r="52" spans="1:14" x14ac:dyDescent="0.3">
      <c r="A52" s="114" t="s">
        <v>230</v>
      </c>
      <c r="B52" s="103" t="s">
        <v>229</v>
      </c>
      <c r="C52" s="104"/>
      <c r="D52" s="104"/>
      <c r="E52" s="68">
        <v>0.4</v>
      </c>
      <c r="F52" s="68">
        <v>250</v>
      </c>
      <c r="G52" s="152">
        <f>(20226)/H9/1000</f>
        <v>2.7185483870967739E-2</v>
      </c>
      <c r="H52" s="108">
        <f t="shared" si="2"/>
        <v>0.22281451612903225</v>
      </c>
      <c r="I52" s="109"/>
      <c r="N52" s="110"/>
    </row>
    <row r="53" spans="1:14" x14ac:dyDescent="0.3">
      <c r="A53" s="69" t="s">
        <v>309</v>
      </c>
      <c r="B53" s="115" t="s">
        <v>298</v>
      </c>
      <c r="C53" s="116"/>
      <c r="D53" s="116"/>
      <c r="E53" s="117">
        <v>0.4</v>
      </c>
      <c r="F53" s="117">
        <v>630</v>
      </c>
      <c r="G53" s="168">
        <f>(8400)/H9/1000</f>
        <v>1.1290322580645162E-2</v>
      </c>
      <c r="H53" s="118">
        <f t="shared" si="2"/>
        <v>0.61870967741935479</v>
      </c>
      <c r="I53" s="109"/>
      <c r="N53" s="110"/>
    </row>
    <row r="54" spans="1:14" x14ac:dyDescent="0.3">
      <c r="A54" s="83"/>
      <c r="B54" s="119"/>
      <c r="C54" s="83"/>
      <c r="D54" s="83"/>
      <c r="E54" s="85"/>
      <c r="F54" s="85"/>
      <c r="G54" s="165"/>
      <c r="H54" s="120"/>
      <c r="I54" s="109"/>
      <c r="N54" s="110"/>
    </row>
    <row r="55" spans="1:14" x14ac:dyDescent="0.3">
      <c r="A55" s="83"/>
      <c r="B55" s="119"/>
      <c r="C55" s="83"/>
      <c r="D55" s="83"/>
      <c r="E55" s="85"/>
      <c r="F55" s="85"/>
      <c r="G55" s="165"/>
      <c r="H55" s="120"/>
      <c r="I55" s="109"/>
      <c r="N55" s="110"/>
    </row>
    <row r="56" spans="1:14" x14ac:dyDescent="0.3">
      <c r="C56" s="121"/>
      <c r="E56" s="121"/>
      <c r="H56" s="70"/>
    </row>
    <row r="57" spans="1:14" ht="18" x14ac:dyDescent="0.35">
      <c r="C57" s="122"/>
      <c r="D57" s="123"/>
      <c r="E57" s="121"/>
      <c r="G57" s="176" t="s">
        <v>231</v>
      </c>
      <c r="H57" s="176"/>
    </row>
    <row r="58" spans="1:14" x14ac:dyDescent="0.3">
      <c r="B58" s="177" t="s">
        <v>232</v>
      </c>
      <c r="C58" s="178"/>
      <c r="D58" s="178"/>
      <c r="E58" s="178"/>
      <c r="F58" s="178"/>
      <c r="G58" s="178"/>
      <c r="H58" s="178"/>
    </row>
    <row r="59" spans="1:14" ht="18" x14ac:dyDescent="0.35">
      <c r="B59" s="124"/>
      <c r="C59" s="125"/>
      <c r="D59" s="124" t="s">
        <v>233</v>
      </c>
      <c r="E59" s="121"/>
      <c r="G59" s="179" t="str">
        <f>G5</f>
        <v>за июль 2024г.</v>
      </c>
      <c r="H59" s="179"/>
    </row>
    <row r="60" spans="1:14" x14ac:dyDescent="0.3">
      <c r="A60" s="170" t="s">
        <v>139</v>
      </c>
      <c r="B60" s="170" t="s">
        <v>234</v>
      </c>
      <c r="C60" s="126" t="s">
        <v>235</v>
      </c>
      <c r="D60" s="170" t="s">
        <v>236</v>
      </c>
      <c r="E60" s="126" t="s">
        <v>237</v>
      </c>
      <c r="F60" s="127" t="s">
        <v>238</v>
      </c>
      <c r="G60" s="170" t="s">
        <v>239</v>
      </c>
      <c r="H60" s="128" t="s">
        <v>240</v>
      </c>
    </row>
    <row r="61" spans="1:14" x14ac:dyDescent="0.3">
      <c r="A61" s="171"/>
      <c r="B61" s="171"/>
      <c r="C61" s="129" t="s">
        <v>241</v>
      </c>
      <c r="D61" s="171"/>
      <c r="E61" s="129" t="s">
        <v>242</v>
      </c>
      <c r="F61" s="130" t="s">
        <v>243</v>
      </c>
      <c r="G61" s="172"/>
      <c r="H61" s="129" t="s">
        <v>144</v>
      </c>
    </row>
    <row r="62" spans="1:14" x14ac:dyDescent="0.3">
      <c r="A62" s="131"/>
      <c r="B62" s="131"/>
      <c r="C62" s="71" t="s">
        <v>244</v>
      </c>
      <c r="D62" s="71" t="s">
        <v>245</v>
      </c>
      <c r="E62" s="71" t="s">
        <v>145</v>
      </c>
      <c r="F62" s="132" t="s">
        <v>147</v>
      </c>
      <c r="G62" s="71" t="s">
        <v>147</v>
      </c>
      <c r="H62" s="71" t="s">
        <v>147</v>
      </c>
    </row>
    <row r="63" spans="1:14" x14ac:dyDescent="0.3">
      <c r="A63" s="133"/>
      <c r="B63" s="134" t="s">
        <v>246</v>
      </c>
      <c r="C63" s="135"/>
      <c r="D63" s="134"/>
      <c r="E63" s="135"/>
      <c r="F63" s="136"/>
      <c r="G63" s="71"/>
      <c r="H63" s="71"/>
    </row>
    <row r="64" spans="1:14" x14ac:dyDescent="0.3">
      <c r="A64" s="137" t="s">
        <v>151</v>
      </c>
      <c r="B64" s="138" t="s">
        <v>247</v>
      </c>
      <c r="C64" s="139"/>
      <c r="D64" s="138"/>
      <c r="E64" s="139"/>
      <c r="F64" s="140"/>
      <c r="G64" s="166"/>
      <c r="H64" s="141">
        <f>H9</f>
        <v>744</v>
      </c>
    </row>
    <row r="65" spans="1:14" x14ac:dyDescent="0.3">
      <c r="A65" s="69"/>
      <c r="B65" s="104" t="s">
        <v>248</v>
      </c>
      <c r="C65" s="68">
        <v>176.7</v>
      </c>
      <c r="D65" s="104" t="s">
        <v>249</v>
      </c>
      <c r="E65" s="68">
        <v>110</v>
      </c>
      <c r="F65" s="68">
        <v>56.5</v>
      </c>
      <c r="G65" s="152">
        <f>5241126/H64/1000</f>
        <v>7.0445241935483871</v>
      </c>
      <c r="H65" s="142">
        <f>F65-G65</f>
        <v>49.455475806451616</v>
      </c>
    </row>
    <row r="66" spans="1:14" x14ac:dyDescent="0.3">
      <c r="A66" s="69"/>
      <c r="B66" s="104" t="s">
        <v>250</v>
      </c>
      <c r="C66" s="68">
        <v>176.7</v>
      </c>
      <c r="D66" s="104" t="s">
        <v>249</v>
      </c>
      <c r="E66" s="68">
        <v>110</v>
      </c>
      <c r="F66" s="68">
        <v>56.5</v>
      </c>
      <c r="G66" s="152">
        <f>5041674/H64/1000</f>
        <v>6.7764435483870962</v>
      </c>
      <c r="H66" s="142">
        <f t="shared" ref="H66:H107" si="3">F66-G66</f>
        <v>49.723556451612907</v>
      </c>
    </row>
    <row r="67" spans="1:14" x14ac:dyDescent="0.3">
      <c r="A67" s="69" t="s">
        <v>158</v>
      </c>
      <c r="B67" s="106" t="s">
        <v>251</v>
      </c>
      <c r="C67" s="143"/>
      <c r="D67" s="106"/>
      <c r="E67" s="143"/>
      <c r="F67" s="68"/>
      <c r="G67" s="164"/>
      <c r="H67" s="142"/>
    </row>
    <row r="68" spans="1:14" x14ac:dyDescent="0.3">
      <c r="A68" s="69"/>
      <c r="B68" s="104" t="s">
        <v>252</v>
      </c>
      <c r="C68" s="68">
        <v>10.26</v>
      </c>
      <c r="D68" s="104" t="s">
        <v>253</v>
      </c>
      <c r="E68" s="68">
        <v>110</v>
      </c>
      <c r="F68" s="68">
        <v>56.5</v>
      </c>
      <c r="G68" s="152">
        <f>(6721000-1925000)/H64/1000</f>
        <v>6.446236559139785</v>
      </c>
      <c r="H68" s="142">
        <f t="shared" si="3"/>
        <v>50.053763440860216</v>
      </c>
      <c r="N68" s="144"/>
    </row>
    <row r="69" spans="1:14" x14ac:dyDescent="0.3">
      <c r="A69" s="69"/>
      <c r="B69" s="104" t="s">
        <v>254</v>
      </c>
      <c r="C69" s="68">
        <v>10.054</v>
      </c>
      <c r="D69" s="104" t="s">
        <v>253</v>
      </c>
      <c r="E69" s="68">
        <v>110</v>
      </c>
      <c r="F69" s="68">
        <v>56.5</v>
      </c>
      <c r="G69" s="152">
        <f>(6853000-2075000)/H64/1000</f>
        <v>6.422043010752688</v>
      </c>
      <c r="H69" s="142">
        <f t="shared" si="3"/>
        <v>50.077956989247312</v>
      </c>
      <c r="I69" s="109"/>
      <c r="N69" s="144"/>
    </row>
    <row r="70" spans="1:14" x14ac:dyDescent="0.3">
      <c r="A70" s="69" t="s">
        <v>161</v>
      </c>
      <c r="B70" s="106" t="s">
        <v>255</v>
      </c>
      <c r="C70" s="143"/>
      <c r="D70" s="106"/>
      <c r="E70" s="143"/>
      <c r="F70" s="68"/>
      <c r="G70" s="164"/>
      <c r="H70" s="142">
        <f t="shared" si="3"/>
        <v>0</v>
      </c>
    </row>
    <row r="71" spans="1:14" x14ac:dyDescent="0.3">
      <c r="A71" s="69"/>
      <c r="B71" s="104" t="s">
        <v>256</v>
      </c>
      <c r="C71" s="68">
        <v>114.9</v>
      </c>
      <c r="D71" s="104" t="s">
        <v>257</v>
      </c>
      <c r="E71" s="68">
        <v>35</v>
      </c>
      <c r="F71" s="68">
        <v>11.4</v>
      </c>
      <c r="G71" s="152">
        <f>66934/H64/1000</f>
        <v>8.9965053763440869E-2</v>
      </c>
      <c r="H71" s="142">
        <f t="shared" si="3"/>
        <v>11.310034946236559</v>
      </c>
    </row>
    <row r="72" spans="1:14" x14ac:dyDescent="0.3">
      <c r="A72" s="69"/>
      <c r="B72" s="104" t="s">
        <v>258</v>
      </c>
      <c r="C72" s="68">
        <v>67.099999999999994</v>
      </c>
      <c r="D72" s="104" t="s">
        <v>259</v>
      </c>
      <c r="E72" s="68">
        <v>35</v>
      </c>
      <c r="F72" s="68">
        <v>14.4</v>
      </c>
      <c r="G72" s="152">
        <f>31549/H64/1000</f>
        <v>4.2404569892473119E-2</v>
      </c>
      <c r="H72" s="142">
        <f t="shared" si="3"/>
        <v>14.357595430107526</v>
      </c>
    </row>
    <row r="73" spans="1:14" x14ac:dyDescent="0.3">
      <c r="A73" s="69"/>
      <c r="B73" s="104" t="s">
        <v>260</v>
      </c>
      <c r="C73" s="68">
        <v>27.2</v>
      </c>
      <c r="D73" s="104" t="s">
        <v>261</v>
      </c>
      <c r="E73" s="68">
        <v>35</v>
      </c>
      <c r="F73" s="68">
        <v>11.4</v>
      </c>
      <c r="G73" s="152">
        <f>401195/H64/1000</f>
        <v>0.53924059139784952</v>
      </c>
      <c r="H73" s="142">
        <f t="shared" si="3"/>
        <v>10.860759408602151</v>
      </c>
    </row>
    <row r="74" spans="1:14" x14ac:dyDescent="0.3">
      <c r="A74" s="69"/>
      <c r="B74" s="104" t="s">
        <v>262</v>
      </c>
      <c r="C74" s="68">
        <v>52.7</v>
      </c>
      <c r="D74" s="104" t="s">
        <v>253</v>
      </c>
      <c r="E74" s="68">
        <v>35</v>
      </c>
      <c r="F74" s="68">
        <v>17.899999999999999</v>
      </c>
      <c r="G74" s="152">
        <f>977655/H64/1000</f>
        <v>1.3140524193548389</v>
      </c>
      <c r="H74" s="142">
        <f t="shared" si="3"/>
        <v>16.585947580645161</v>
      </c>
    </row>
    <row r="75" spans="1:14" x14ac:dyDescent="0.3">
      <c r="A75" s="69"/>
      <c r="B75" s="104" t="s">
        <v>263</v>
      </c>
      <c r="C75" s="68">
        <v>4.82</v>
      </c>
      <c r="D75" s="104" t="s">
        <v>264</v>
      </c>
      <c r="E75" s="68">
        <v>35</v>
      </c>
      <c r="F75" s="68">
        <v>17.899999999999999</v>
      </c>
      <c r="G75" s="152">
        <f>53592/H64/1000</f>
        <v>7.203225806451613E-2</v>
      </c>
      <c r="H75" s="142">
        <f t="shared" si="3"/>
        <v>17.827967741935481</v>
      </c>
    </row>
    <row r="76" spans="1:14" x14ac:dyDescent="0.3">
      <c r="A76" s="69"/>
      <c r="B76" s="104" t="s">
        <v>265</v>
      </c>
      <c r="C76" s="68">
        <v>4.82</v>
      </c>
      <c r="D76" s="104" t="s">
        <v>264</v>
      </c>
      <c r="E76" s="68">
        <v>35</v>
      </c>
      <c r="F76" s="68">
        <v>17.899999999999999</v>
      </c>
      <c r="G76" s="152">
        <f>859278/H64/1000</f>
        <v>1.1549435483870969</v>
      </c>
      <c r="H76" s="142">
        <f t="shared" si="3"/>
        <v>16.745056451612903</v>
      </c>
    </row>
    <row r="77" spans="1:14" x14ac:dyDescent="0.3">
      <c r="A77" s="69"/>
      <c r="B77" s="104" t="s">
        <v>266</v>
      </c>
      <c r="C77" s="68">
        <v>22</v>
      </c>
      <c r="D77" s="104" t="s">
        <v>259</v>
      </c>
      <c r="E77" s="68">
        <v>35</v>
      </c>
      <c r="F77" s="68">
        <v>17.899999999999999</v>
      </c>
      <c r="G77" s="152">
        <f>201337/H64/1000</f>
        <v>0.27061424731182798</v>
      </c>
      <c r="H77" s="142">
        <f t="shared" si="3"/>
        <v>17.629385752688172</v>
      </c>
    </row>
    <row r="78" spans="1:14" x14ac:dyDescent="0.3">
      <c r="A78" s="69"/>
      <c r="B78" s="104" t="s">
        <v>267</v>
      </c>
      <c r="C78" s="68">
        <v>22</v>
      </c>
      <c r="D78" s="104" t="s">
        <v>259</v>
      </c>
      <c r="E78" s="68">
        <v>35</v>
      </c>
      <c r="F78" s="68">
        <v>17.899999999999999</v>
      </c>
      <c r="G78" s="152">
        <f>328041/H64/1000</f>
        <v>0.4409153225806452</v>
      </c>
      <c r="H78" s="142">
        <f t="shared" si="3"/>
        <v>17.459084677419355</v>
      </c>
    </row>
    <row r="79" spans="1:14" x14ac:dyDescent="0.3">
      <c r="A79" s="69" t="s">
        <v>165</v>
      </c>
      <c r="B79" s="106" t="s">
        <v>268</v>
      </c>
      <c r="C79" s="143"/>
      <c r="D79" s="106"/>
      <c r="E79" s="68"/>
      <c r="F79" s="68"/>
      <c r="G79" s="164"/>
      <c r="H79" s="142"/>
    </row>
    <row r="80" spans="1:14" x14ac:dyDescent="0.3">
      <c r="A80" s="69"/>
      <c r="B80" s="104" t="s">
        <v>269</v>
      </c>
      <c r="C80" s="68">
        <v>33.549999999999997</v>
      </c>
      <c r="D80" s="104" t="s">
        <v>257</v>
      </c>
      <c r="E80" s="68">
        <v>35</v>
      </c>
      <c r="F80" s="68">
        <v>9.5</v>
      </c>
      <c r="G80" s="152">
        <f>191776/H64/1000</f>
        <v>0.25776344086021502</v>
      </c>
      <c r="H80" s="142">
        <f t="shared" si="3"/>
        <v>9.2422365591397853</v>
      </c>
    </row>
    <row r="81" spans="1:8" x14ac:dyDescent="0.3">
      <c r="A81" s="69"/>
      <c r="B81" s="104" t="s">
        <v>270</v>
      </c>
      <c r="C81" s="68">
        <v>27.7</v>
      </c>
      <c r="D81" s="104" t="s">
        <v>259</v>
      </c>
      <c r="E81" s="68">
        <v>35</v>
      </c>
      <c r="F81" s="68">
        <v>9.5</v>
      </c>
      <c r="G81" s="152">
        <f>56035/H64/1000</f>
        <v>7.5315860215053765E-2</v>
      </c>
      <c r="H81" s="142">
        <f t="shared" si="3"/>
        <v>9.4246841397849455</v>
      </c>
    </row>
    <row r="82" spans="1:8" x14ac:dyDescent="0.3">
      <c r="A82" s="69"/>
      <c r="B82" s="104" t="s">
        <v>271</v>
      </c>
      <c r="C82" s="68">
        <v>18.62</v>
      </c>
      <c r="D82" s="104" t="s">
        <v>261</v>
      </c>
      <c r="E82" s="68">
        <v>35</v>
      </c>
      <c r="F82" s="68">
        <v>11.4</v>
      </c>
      <c r="G82" s="152">
        <f>181622/H64/1000</f>
        <v>0.24411559139784947</v>
      </c>
      <c r="H82" s="142">
        <f t="shared" si="3"/>
        <v>11.155884408602152</v>
      </c>
    </row>
    <row r="83" spans="1:8" x14ac:dyDescent="0.3">
      <c r="A83" s="69" t="s">
        <v>169</v>
      </c>
      <c r="B83" s="106" t="s">
        <v>272</v>
      </c>
      <c r="C83" s="143"/>
      <c r="D83" s="106"/>
      <c r="E83" s="68"/>
      <c r="F83" s="68"/>
      <c r="G83" s="164"/>
      <c r="H83" s="142"/>
    </row>
    <row r="84" spans="1:8" x14ac:dyDescent="0.3">
      <c r="A84" s="69"/>
      <c r="B84" s="104" t="s">
        <v>273</v>
      </c>
      <c r="C84" s="68">
        <v>22.5</v>
      </c>
      <c r="D84" s="104" t="s">
        <v>274</v>
      </c>
      <c r="E84" s="68">
        <v>35</v>
      </c>
      <c r="F84" s="68">
        <v>20.7</v>
      </c>
      <c r="G84" s="152">
        <f>70686/H64/1000</f>
        <v>9.5008064516129045E-2</v>
      </c>
      <c r="H84" s="142">
        <f t="shared" si="3"/>
        <v>20.60499193548387</v>
      </c>
    </row>
    <row r="85" spans="1:8" x14ac:dyDescent="0.3">
      <c r="A85" s="69"/>
      <c r="B85" s="104" t="s">
        <v>275</v>
      </c>
      <c r="C85" s="68">
        <v>19.690000000000001</v>
      </c>
      <c r="D85" s="104" t="s">
        <v>253</v>
      </c>
      <c r="E85" s="68">
        <v>35</v>
      </c>
      <c r="F85" s="68">
        <v>20.7</v>
      </c>
      <c r="G85" s="152">
        <f>1158654/H64/1000</f>
        <v>1.5573306451612903</v>
      </c>
      <c r="H85" s="142">
        <f t="shared" si="3"/>
        <v>19.142669354838709</v>
      </c>
    </row>
    <row r="86" spans="1:8" x14ac:dyDescent="0.3">
      <c r="A86" s="69" t="s">
        <v>173</v>
      </c>
      <c r="B86" s="106" t="s">
        <v>276</v>
      </c>
      <c r="C86" s="143"/>
      <c r="D86" s="106"/>
      <c r="E86" s="68"/>
      <c r="F86" s="68"/>
      <c r="G86" s="164"/>
      <c r="H86" s="142"/>
    </row>
    <row r="87" spans="1:8" x14ac:dyDescent="0.3">
      <c r="A87" s="69"/>
      <c r="B87" s="104" t="s">
        <v>277</v>
      </c>
      <c r="C87" s="68">
        <v>11.2</v>
      </c>
      <c r="D87" s="104" t="s">
        <v>261</v>
      </c>
      <c r="E87" s="68">
        <v>35</v>
      </c>
      <c r="F87" s="68">
        <v>11.4</v>
      </c>
      <c r="G87" s="152">
        <f>241150/H64/1000</f>
        <v>0.32412634408602148</v>
      </c>
      <c r="H87" s="142">
        <f t="shared" si="3"/>
        <v>11.075873655913979</v>
      </c>
    </row>
    <row r="88" spans="1:8" hidden="1" x14ac:dyDescent="0.3">
      <c r="A88" s="69"/>
      <c r="B88" s="104" t="s">
        <v>278</v>
      </c>
      <c r="C88" s="68">
        <v>12.6</v>
      </c>
      <c r="D88" s="104" t="s">
        <v>261</v>
      </c>
      <c r="E88" s="68">
        <v>35</v>
      </c>
      <c r="F88" s="68">
        <v>11.4</v>
      </c>
      <c r="G88" s="164">
        <v>0</v>
      </c>
      <c r="H88" s="142">
        <f t="shared" si="3"/>
        <v>11.4</v>
      </c>
    </row>
    <row r="89" spans="1:8" x14ac:dyDescent="0.3">
      <c r="A89" s="69" t="s">
        <v>176</v>
      </c>
      <c r="B89" s="106" t="s">
        <v>279</v>
      </c>
      <c r="C89" s="143"/>
      <c r="D89" s="106"/>
      <c r="E89" s="68"/>
      <c r="F89" s="68"/>
      <c r="G89" s="164"/>
      <c r="H89" s="142">
        <f>F89-G89</f>
        <v>0</v>
      </c>
    </row>
    <row r="90" spans="1:8" x14ac:dyDescent="0.3">
      <c r="A90" s="69"/>
      <c r="B90" s="104" t="s">
        <v>280</v>
      </c>
      <c r="C90" s="68">
        <v>13.5</v>
      </c>
      <c r="D90" s="104" t="s">
        <v>259</v>
      </c>
      <c r="E90" s="68">
        <v>35</v>
      </c>
      <c r="F90" s="68">
        <v>14.4</v>
      </c>
      <c r="G90" s="152">
        <f>137525/H64/1000</f>
        <v>0.18484543010752688</v>
      </c>
      <c r="H90" s="142">
        <f t="shared" si="3"/>
        <v>14.215154569892473</v>
      </c>
    </row>
    <row r="91" spans="1:8" x14ac:dyDescent="0.3">
      <c r="A91" s="69" t="s">
        <v>179</v>
      </c>
      <c r="B91" s="106" t="s">
        <v>281</v>
      </c>
      <c r="C91" s="143"/>
      <c r="D91" s="106"/>
      <c r="E91" s="143"/>
      <c r="F91" s="68"/>
      <c r="G91" s="164"/>
      <c r="H91" s="142"/>
    </row>
    <row r="92" spans="1:8" x14ac:dyDescent="0.3">
      <c r="A92" s="69"/>
      <c r="B92" s="104" t="s">
        <v>282</v>
      </c>
      <c r="C92" s="68">
        <v>42</v>
      </c>
      <c r="D92" s="104" t="s">
        <v>253</v>
      </c>
      <c r="E92" s="68">
        <v>110</v>
      </c>
      <c r="F92" s="68">
        <v>56.5</v>
      </c>
      <c r="G92" s="152">
        <f>1081943/H64/1000</f>
        <v>1.4542244623655913</v>
      </c>
      <c r="H92" s="142">
        <f t="shared" si="3"/>
        <v>55.045775537634405</v>
      </c>
    </row>
    <row r="93" spans="1:8" x14ac:dyDescent="0.3">
      <c r="A93" s="69"/>
      <c r="B93" s="104" t="s">
        <v>283</v>
      </c>
      <c r="C93" s="68">
        <v>63.2</v>
      </c>
      <c r="D93" s="104" t="s">
        <v>274</v>
      </c>
      <c r="E93" s="68">
        <v>110</v>
      </c>
      <c r="F93" s="111">
        <v>65</v>
      </c>
      <c r="G93" s="152">
        <f>335524/H64/1000</f>
        <v>0.45097311827956993</v>
      </c>
      <c r="H93" s="142">
        <f t="shared" si="3"/>
        <v>64.549026881720437</v>
      </c>
    </row>
    <row r="94" spans="1:8" x14ac:dyDescent="0.3">
      <c r="A94" s="69"/>
      <c r="B94" s="104" t="s">
        <v>284</v>
      </c>
      <c r="C94" s="68">
        <v>49</v>
      </c>
      <c r="D94" s="104" t="s">
        <v>285</v>
      </c>
      <c r="E94" s="68">
        <v>35</v>
      </c>
      <c r="F94" s="68">
        <v>11.4</v>
      </c>
      <c r="G94" s="152">
        <f>535167/H64/1000</f>
        <v>0.71931048387096763</v>
      </c>
      <c r="H94" s="142">
        <f t="shared" si="3"/>
        <v>10.680689516129032</v>
      </c>
    </row>
    <row r="95" spans="1:8" x14ac:dyDescent="0.3">
      <c r="A95" s="69" t="s">
        <v>184</v>
      </c>
      <c r="B95" s="106" t="s">
        <v>286</v>
      </c>
      <c r="C95" s="143"/>
      <c r="D95" s="106"/>
      <c r="E95" s="68"/>
      <c r="F95" s="68"/>
      <c r="G95" s="164"/>
      <c r="H95" s="142"/>
    </row>
    <row r="96" spans="1:8" x14ac:dyDescent="0.3">
      <c r="A96" s="69"/>
      <c r="B96" s="104" t="s">
        <v>287</v>
      </c>
      <c r="C96" s="68">
        <v>75.2</v>
      </c>
      <c r="D96" s="104" t="s">
        <v>259</v>
      </c>
      <c r="E96" s="68">
        <v>35</v>
      </c>
      <c r="F96" s="68">
        <v>11.4</v>
      </c>
      <c r="G96" s="152">
        <f>318649/H64/1000</f>
        <v>0.42829166666666668</v>
      </c>
      <c r="H96" s="142">
        <f t="shared" si="3"/>
        <v>10.971708333333334</v>
      </c>
    </row>
    <row r="97" spans="1:8" x14ac:dyDescent="0.3">
      <c r="A97" s="69" t="s">
        <v>187</v>
      </c>
      <c r="B97" s="106" t="s">
        <v>288</v>
      </c>
      <c r="C97" s="143"/>
      <c r="D97" s="106"/>
      <c r="E97" s="68"/>
      <c r="F97" s="68"/>
      <c r="G97" s="164"/>
      <c r="H97" s="142"/>
    </row>
    <row r="98" spans="1:8" x14ac:dyDescent="0.3">
      <c r="A98" s="69"/>
      <c r="B98" s="104" t="s">
        <v>289</v>
      </c>
      <c r="C98" s="68">
        <v>56.26</v>
      </c>
      <c r="D98" s="104" t="s">
        <v>253</v>
      </c>
      <c r="E98" s="68">
        <v>110</v>
      </c>
      <c r="F98" s="68">
        <v>56.5</v>
      </c>
      <c r="G98" s="152">
        <f>62307/H64/1000</f>
        <v>8.374596774193549E-2</v>
      </c>
      <c r="H98" s="142">
        <f t="shared" si="3"/>
        <v>56.416254032258067</v>
      </c>
    </row>
    <row r="99" spans="1:8" x14ac:dyDescent="0.3">
      <c r="A99" s="69"/>
      <c r="B99" s="104" t="s">
        <v>290</v>
      </c>
      <c r="C99" s="68">
        <v>75.5</v>
      </c>
      <c r="D99" s="104" t="s">
        <v>249</v>
      </c>
      <c r="E99" s="68">
        <v>110</v>
      </c>
      <c r="F99" s="68">
        <v>56.5</v>
      </c>
      <c r="G99" s="152">
        <f>(375144-0)/H64/1000</f>
        <v>0.50422580645161297</v>
      </c>
      <c r="H99" s="142">
        <f t="shared" si="3"/>
        <v>55.995774193548385</v>
      </c>
    </row>
    <row r="100" spans="1:8" x14ac:dyDescent="0.3">
      <c r="A100" s="69"/>
      <c r="B100" s="104" t="s">
        <v>291</v>
      </c>
      <c r="C100" s="68">
        <v>95.9</v>
      </c>
      <c r="D100" s="104" t="s">
        <v>285</v>
      </c>
      <c r="E100" s="68">
        <v>35</v>
      </c>
      <c r="F100" s="68">
        <v>11.4</v>
      </c>
      <c r="G100" s="152">
        <f>63693/H64/1000</f>
        <v>8.5608870967741932E-2</v>
      </c>
      <c r="H100" s="142">
        <f t="shared" si="3"/>
        <v>11.314391129032259</v>
      </c>
    </row>
    <row r="101" spans="1:8" x14ac:dyDescent="0.3">
      <c r="A101" s="69" t="s">
        <v>190</v>
      </c>
      <c r="B101" s="106" t="s">
        <v>292</v>
      </c>
      <c r="C101" s="143"/>
      <c r="D101" s="106"/>
      <c r="E101" s="68"/>
      <c r="F101" s="68"/>
      <c r="G101" s="164"/>
      <c r="H101" s="142"/>
    </row>
    <row r="102" spans="1:8" x14ac:dyDescent="0.3">
      <c r="A102" s="69"/>
      <c r="B102" s="104" t="s">
        <v>291</v>
      </c>
      <c r="C102" s="68">
        <v>43.3</v>
      </c>
      <c r="D102" s="104" t="s">
        <v>253</v>
      </c>
      <c r="E102" s="68">
        <v>35</v>
      </c>
      <c r="F102" s="68">
        <v>17.899999999999999</v>
      </c>
      <c r="G102" s="152">
        <f>26828/H64/1000</f>
        <v>3.6059139784946237E-2</v>
      </c>
      <c r="H102" s="142">
        <f t="shared" si="3"/>
        <v>17.863940860215052</v>
      </c>
    </row>
    <row r="103" spans="1:8" x14ac:dyDescent="0.3">
      <c r="A103" s="69" t="s">
        <v>194</v>
      </c>
      <c r="B103" s="106" t="s">
        <v>293</v>
      </c>
      <c r="C103" s="143"/>
      <c r="D103" s="106"/>
      <c r="E103" s="68"/>
      <c r="F103" s="68"/>
      <c r="G103" s="164"/>
      <c r="H103" s="142"/>
    </row>
    <row r="104" spans="1:8" x14ac:dyDescent="0.3">
      <c r="A104" s="69"/>
      <c r="B104" s="104" t="s">
        <v>294</v>
      </c>
      <c r="C104" s="68">
        <v>42</v>
      </c>
      <c r="D104" s="104" t="s">
        <v>259</v>
      </c>
      <c r="E104" s="68">
        <v>35</v>
      </c>
      <c r="F104" s="68">
        <v>14.4</v>
      </c>
      <c r="G104" s="152">
        <f>-136266/H64/1000</f>
        <v>-0.1831532258064516</v>
      </c>
      <c r="H104" s="142">
        <f t="shared" si="3"/>
        <v>14.583153225806452</v>
      </c>
    </row>
    <row r="105" spans="1:8" x14ac:dyDescent="0.3">
      <c r="A105" s="69"/>
      <c r="B105" s="104" t="s">
        <v>295</v>
      </c>
      <c r="C105" s="68">
        <v>37</v>
      </c>
      <c r="D105" s="104" t="s">
        <v>259</v>
      </c>
      <c r="E105" s="68">
        <v>35</v>
      </c>
      <c r="F105" s="68">
        <v>14.4</v>
      </c>
      <c r="G105" s="152">
        <f>28500/H64/1000</f>
        <v>3.8306451612903226E-2</v>
      </c>
      <c r="H105" s="142">
        <f t="shared" si="3"/>
        <v>14.361693548387096</v>
      </c>
    </row>
    <row r="106" spans="1:8" x14ac:dyDescent="0.3">
      <c r="A106" s="69"/>
      <c r="B106" s="104" t="s">
        <v>290</v>
      </c>
      <c r="C106" s="68"/>
      <c r="D106" s="104" t="s">
        <v>259</v>
      </c>
      <c r="E106" s="68">
        <v>35</v>
      </c>
      <c r="F106" s="68">
        <v>14.4</v>
      </c>
      <c r="G106" s="152">
        <f>369617/H64/1000</f>
        <v>0.49679704301075273</v>
      </c>
      <c r="H106" s="142">
        <f t="shared" si="3"/>
        <v>13.903202956989247</v>
      </c>
    </row>
    <row r="107" spans="1:8" x14ac:dyDescent="0.3">
      <c r="A107" s="114"/>
      <c r="B107" s="116" t="s">
        <v>296</v>
      </c>
      <c r="C107" s="117">
        <v>91</v>
      </c>
      <c r="D107" s="116" t="s">
        <v>297</v>
      </c>
      <c r="E107" s="117">
        <v>35</v>
      </c>
      <c r="F107" s="117">
        <v>17.899999999999999</v>
      </c>
      <c r="G107" s="168">
        <f>91959/H64/1000</f>
        <v>0.12360080645161289</v>
      </c>
      <c r="H107" s="145">
        <f t="shared" si="3"/>
        <v>17.776399193548386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"/>
  <sheetViews>
    <sheetView tabSelected="1" workbookViewId="0">
      <selection activeCell="F15" sqref="F15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6" customWidth="1"/>
    <col min="8" max="8" width="26.109375" style="4" customWidth="1"/>
    <col min="9" max="16384" width="9.109375" style="1"/>
  </cols>
  <sheetData>
    <row r="1" spans="1:8" x14ac:dyDescent="0.3">
      <c r="A1" s="180" t="s">
        <v>0</v>
      </c>
      <c r="B1" s="180"/>
      <c r="C1" s="180"/>
      <c r="D1" s="180"/>
      <c r="E1" s="180"/>
      <c r="F1" s="180"/>
      <c r="G1" s="180"/>
      <c r="H1" s="180"/>
    </row>
    <row r="2" spans="1:8" x14ac:dyDescent="0.3">
      <c r="A2" s="180" t="s">
        <v>1</v>
      </c>
      <c r="B2" s="180"/>
      <c r="C2" s="180"/>
      <c r="D2" s="180"/>
      <c r="E2" s="180"/>
      <c r="F2" s="180"/>
      <c r="G2" s="180"/>
      <c r="H2" s="180"/>
    </row>
    <row r="4" spans="1:8" x14ac:dyDescent="0.3">
      <c r="A4" s="180" t="s">
        <v>2</v>
      </c>
      <c r="B4" s="180"/>
      <c r="C4" s="180"/>
      <c r="D4" s="180"/>
      <c r="E4" s="180"/>
      <c r="F4" s="180"/>
      <c r="G4" s="180"/>
      <c r="H4" s="180"/>
    </row>
    <row r="6" spans="1:8" x14ac:dyDescent="0.3">
      <c r="A6" s="180" t="s">
        <v>3</v>
      </c>
      <c r="B6" s="180"/>
      <c r="C6" s="180"/>
      <c r="D6" s="180"/>
      <c r="E6" s="180"/>
      <c r="F6" s="180"/>
      <c r="G6" s="180"/>
      <c r="H6" s="180"/>
    </row>
    <row r="7" spans="1:8" x14ac:dyDescent="0.3">
      <c r="B7" s="147" t="s">
        <v>310</v>
      </c>
    </row>
    <row r="8" spans="1:8" s="7" customFormat="1" ht="46.8" x14ac:dyDescent="0.3">
      <c r="A8" s="148" t="s">
        <v>4</v>
      </c>
      <c r="B8" s="148" t="s">
        <v>5</v>
      </c>
      <c r="C8" s="148" t="s">
        <v>6</v>
      </c>
      <c r="D8" s="148" t="s">
        <v>7</v>
      </c>
      <c r="E8" s="148" t="s">
        <v>8</v>
      </c>
      <c r="F8" s="148" t="s">
        <v>9</v>
      </c>
      <c r="G8" s="6" t="s">
        <v>302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7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8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8">
        <f>9450/744000</f>
        <v>1.2701612903225806E-2</v>
      </c>
      <c r="H11" s="19">
        <f>F11/1000-G11</f>
        <v>2.4872983870967742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7">
        <f>1911888/744000</f>
        <v>2.5697419354838709</v>
      </c>
      <c r="H12" s="11">
        <f t="shared" ref="H12:H49" si="0">F12/1000-G12</f>
        <v>13.43025806451613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1521630/744000</f>
        <v>2.045201612903226</v>
      </c>
      <c r="H13" s="19">
        <f t="shared" si="0"/>
        <v>13.954798387096774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59">
        <f>20089/744000</f>
        <v>2.7001344086021506E-2</v>
      </c>
      <c r="H14" s="25">
        <f t="shared" si="0"/>
        <v>9.9729986559139778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60">
        <f>13396/744000</f>
        <v>1.800537634408602E-2</v>
      </c>
      <c r="H15" s="29">
        <f t="shared" si="0"/>
        <v>9.9819946236559147</v>
      </c>
    </row>
    <row r="16" spans="1:8" x14ac:dyDescent="0.3">
      <c r="A16" s="8">
        <v>5</v>
      </c>
      <c r="B16" s="9" t="s">
        <v>24</v>
      </c>
      <c r="C16" s="10" t="s">
        <v>12</v>
      </c>
      <c r="D16" s="153" t="s">
        <v>20</v>
      </c>
      <c r="E16" s="8" t="s">
        <v>21</v>
      </c>
      <c r="F16" s="10">
        <v>40000</v>
      </c>
      <c r="G16" s="157">
        <f>2306700/744000</f>
        <v>3.1004032258064518</v>
      </c>
      <c r="H16" s="33">
        <f t="shared" si="0"/>
        <v>36.899596774193547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(1461964+2240)/744000</f>
        <v>1.968016129032258</v>
      </c>
      <c r="H17" s="19">
        <f t="shared" si="0"/>
        <v>4.3319838709677416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31">
        <v>0</v>
      </c>
      <c r="H18" s="169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58">
        <f>82890/744000</f>
        <v>0.11141129032258064</v>
      </c>
      <c r="H19" s="15">
        <f>F19/1000-G19</f>
        <v>19.888588709677418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531440/744000</f>
        <v>0.71430107526881725</v>
      </c>
      <c r="H20" s="19">
        <f t="shared" si="0"/>
        <v>9.2856989247311823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31">
        <f>66150/744000</f>
        <v>8.8911290322580647E-2</v>
      </c>
      <c r="H21" s="36">
        <f t="shared" si="0"/>
        <v>15.911088709677419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31">
        <v>0</v>
      </c>
      <c r="H22" s="169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60">
        <f>42000/744000</f>
        <v>5.6451612903225805E-2</v>
      </c>
      <c r="H23" s="29">
        <f t="shared" si="0"/>
        <v>2.443548387096774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f>314408/744000</f>
        <v>0.42259139784946237</v>
      </c>
      <c r="H24" s="36">
        <f t="shared" si="0"/>
        <v>5.8774086021505374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166704/744000</f>
        <v>0.22406451612903225</v>
      </c>
      <c r="H25" s="19">
        <f t="shared" si="0"/>
        <v>6.0759354838709676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31">
        <v>0</v>
      </c>
      <c r="H26" s="36" t="s">
        <v>15</v>
      </c>
      <c r="J26" s="1" t="s">
        <v>300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31">
        <f>1015170/744000</f>
        <v>1.3644758064516129</v>
      </c>
      <c r="H27" s="19">
        <f t="shared" si="0"/>
        <v>14.635524193548386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60">
        <f>20813/744000</f>
        <v>2.7974462365591399E-2</v>
      </c>
      <c r="H28" s="29">
        <f t="shared" si="0"/>
        <v>2.4720255376344085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60">
        <f>34040/744000</f>
        <v>4.5752688172043011E-2</v>
      </c>
      <c r="H29" s="29">
        <f t="shared" si="0"/>
        <v>2.4542473118279569</v>
      </c>
      <c r="O29" s="1" t="s">
        <v>300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162">
        <f>326970/744000</f>
        <v>0.43947580645161288</v>
      </c>
      <c r="H30" s="36">
        <f>F30/1000-G30</f>
        <v>39.560524193548389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f>6486774/744000</f>
        <v>8.7187822580645165</v>
      </c>
      <c r="H31" s="36">
        <f>F31/1000-G31</f>
        <v>11.281217741935484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301</v>
      </c>
      <c r="E32" s="8" t="s">
        <v>28</v>
      </c>
      <c r="F32" s="10">
        <v>10000</v>
      </c>
      <c r="G32" s="161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750864/744000</f>
        <v>1.0092258064516129</v>
      </c>
      <c r="H33" s="19">
        <f t="shared" si="0"/>
        <v>8.9907741935483863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60">
        <f>91014/744000</f>
        <v>0.12233064516129032</v>
      </c>
      <c r="H34" s="29">
        <f t="shared" si="0"/>
        <v>6.1776693548387094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7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3" t="s">
        <v>20</v>
      </c>
      <c r="E37" s="8" t="s">
        <v>26</v>
      </c>
      <c r="F37" s="10">
        <v>5600</v>
      </c>
      <c r="G37" s="162">
        <f>64632/744000</f>
        <v>8.6870967741935479E-2</v>
      </c>
      <c r="H37" s="33">
        <f t="shared" si="0"/>
        <v>5.5131290322580639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v>0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60">
        <f>12457/744000</f>
        <v>1.6743279569892473E-2</v>
      </c>
      <c r="H39" s="29">
        <f t="shared" si="0"/>
        <v>0.61325672043010748</v>
      </c>
    </row>
    <row r="40" spans="1:8" x14ac:dyDescent="0.3">
      <c r="A40" s="8">
        <v>19</v>
      </c>
      <c r="B40" s="9" t="s">
        <v>51</v>
      </c>
      <c r="C40" s="10" t="s">
        <v>12</v>
      </c>
      <c r="D40" s="153" t="s">
        <v>20</v>
      </c>
      <c r="E40" s="8" t="s">
        <v>26</v>
      </c>
      <c r="F40" s="10">
        <v>2500</v>
      </c>
      <c r="G40" s="31">
        <f>1218/744000</f>
        <v>1.6370967741935485E-3</v>
      </c>
      <c r="H40" s="36">
        <f t="shared" si="0"/>
        <v>2.4983629032258063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v>0</v>
      </c>
      <c r="H41" s="19" t="s">
        <v>15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60">
        <f>62552/744000</f>
        <v>8.4075268817204299E-2</v>
      </c>
      <c r="H42" s="29">
        <f t="shared" si="0"/>
        <v>1.5159247311827957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60">
        <f>29821/744000</f>
        <v>4.0081989247311829E-2</v>
      </c>
      <c r="H43" s="29">
        <f t="shared" si="0"/>
        <v>6.2599180107526884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485653/744000</f>
        <v>0.65275940860215054</v>
      </c>
      <c r="H44" s="31">
        <f>F44/1000-G44</f>
        <v>3.3472405913978496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62">
        <v>0</v>
      </c>
      <c r="H46" s="36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355548/744000</f>
        <v>0.47788709677419355</v>
      </c>
      <c r="H47" s="20">
        <f>F47/1000-G47</f>
        <v>3.5221129032258065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60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60">
        <f>72167/744000</f>
        <v>9.6998655913978493E-2</v>
      </c>
      <c r="H49" s="29">
        <f t="shared" si="0"/>
        <v>0.90300134408602151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60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81" t="s">
        <v>66</v>
      </c>
      <c r="B52" s="181"/>
      <c r="C52" s="181"/>
      <c r="D52" s="181"/>
      <c r="E52" s="181"/>
      <c r="F52" s="181"/>
      <c r="G52" s="181"/>
      <c r="H52" s="181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302</v>
      </c>
      <c r="H54" s="6" t="s">
        <v>10</v>
      </c>
    </row>
    <row r="55" spans="1:10" x14ac:dyDescent="0.3">
      <c r="A55" s="26"/>
      <c r="B55" s="149" t="s">
        <v>71</v>
      </c>
      <c r="C55" s="27"/>
      <c r="D55" s="24"/>
      <c r="E55" s="149"/>
      <c r="F55" s="24"/>
      <c r="G55" s="160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8">
        <f>341153/744000</f>
        <v>0.45853897849462366</v>
      </c>
      <c r="H56" s="40">
        <f t="shared" ref="H56:H108" si="1">F56-G56</f>
        <v>65.194961021505364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8">
        <f>1736887/744000</f>
        <v>2.3345255376344087</v>
      </c>
      <c r="H57" s="40">
        <f t="shared" si="1"/>
        <v>86.198224462365587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8">
        <f>1590534/744000</f>
        <v>2.1378145161290321</v>
      </c>
      <c r="H58" s="40">
        <f t="shared" si="1"/>
        <v>86.394935483870967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76</v>
      </c>
      <c r="E59" s="14">
        <v>110</v>
      </c>
      <c r="F59" s="40">
        <f>1.73*115*445/1000</f>
        <v>88.532749999999993</v>
      </c>
      <c r="G59" s="158">
        <f>5342669/744000</f>
        <v>7.1810067204301076</v>
      </c>
      <c r="H59" s="40">
        <f t="shared" si="1"/>
        <v>81.351743279569888</v>
      </c>
      <c r="J59" s="1" t="s">
        <v>300</v>
      </c>
    </row>
    <row r="60" spans="1:10" x14ac:dyDescent="0.3">
      <c r="A60" s="12">
        <v>5</v>
      </c>
      <c r="B60" s="13" t="s">
        <v>77</v>
      </c>
      <c r="C60" s="41">
        <v>17.3</v>
      </c>
      <c r="D60" s="42" t="s">
        <v>76</v>
      </c>
      <c r="E60" s="14">
        <v>110</v>
      </c>
      <c r="F60" s="40">
        <f>1.73*115*445/1000</f>
        <v>88.532749999999993</v>
      </c>
      <c r="G60" s="158">
        <f>2787715/744000</f>
        <v>3.7469287634408603</v>
      </c>
      <c r="H60" s="40">
        <f t="shared" si="1"/>
        <v>84.78582123655913</v>
      </c>
    </row>
    <row r="61" spans="1:10" x14ac:dyDescent="0.3">
      <c r="A61" s="12">
        <v>6</v>
      </c>
      <c r="B61" s="13" t="s">
        <v>78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8">
        <f>687711/744000</f>
        <v>0.92434274193548382</v>
      </c>
      <c r="H61" s="40">
        <f t="shared" si="1"/>
        <v>87.608407258064503</v>
      </c>
    </row>
    <row r="62" spans="1:10" x14ac:dyDescent="0.3">
      <c r="A62" s="12">
        <v>7</v>
      </c>
      <c r="B62" s="13" t="s">
        <v>79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8">
        <f>2354044/744000</f>
        <v>3.1640376344086021</v>
      </c>
      <c r="H62" s="40">
        <f t="shared" si="1"/>
        <v>72.436962365591398</v>
      </c>
    </row>
    <row r="63" spans="1:10" x14ac:dyDescent="0.3">
      <c r="A63" s="12">
        <v>8</v>
      </c>
      <c r="B63" s="13" t="s">
        <v>80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8">
        <f>9143907/744000</f>
        <v>12.290197580645161</v>
      </c>
      <c r="H63" s="40">
        <f t="shared" si="1"/>
        <v>89.174302419354845</v>
      </c>
    </row>
    <row r="64" spans="1:10" x14ac:dyDescent="0.3">
      <c r="A64" s="12">
        <v>9</v>
      </c>
      <c r="B64" s="13" t="s">
        <v>81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8">
        <f>2521815/744000</f>
        <v>3.3895362903225807</v>
      </c>
      <c r="H64" s="72">
        <f t="shared" si="1"/>
        <v>98.074963709677419</v>
      </c>
    </row>
    <row r="65" spans="1:8" x14ac:dyDescent="0.3">
      <c r="A65" s="12">
        <v>10</v>
      </c>
      <c r="B65" s="13" t="s">
        <v>82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31">
        <f>6683800/744000</f>
        <v>8.9836021505376351</v>
      </c>
      <c r="H65" s="72">
        <f t="shared" si="1"/>
        <v>66.617397849462364</v>
      </c>
    </row>
    <row r="66" spans="1:8" x14ac:dyDescent="0.3">
      <c r="A66" s="16">
        <v>11</v>
      </c>
      <c r="B66" s="17" t="s">
        <v>83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378802/744000</f>
        <v>0.50914247311827954</v>
      </c>
      <c r="H66" s="46">
        <f t="shared" si="1"/>
        <v>10.692607526881721</v>
      </c>
    </row>
    <row r="67" spans="1:8" x14ac:dyDescent="0.3">
      <c r="A67" s="26"/>
      <c r="B67" s="149" t="s">
        <v>84</v>
      </c>
      <c r="C67" s="47"/>
      <c r="D67" s="48"/>
      <c r="E67" s="149"/>
      <c r="F67" s="150"/>
      <c r="G67" s="160"/>
      <c r="H67" s="150"/>
    </row>
    <row r="68" spans="1:8" x14ac:dyDescent="0.3">
      <c r="A68" s="8">
        <v>12</v>
      </c>
      <c r="B68" s="9" t="s">
        <v>85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62">
        <f>450632/744000</f>
        <v>0.60568817204301073</v>
      </c>
      <c r="H68" s="151">
        <f t="shared" si="1"/>
        <v>74.995311827956982</v>
      </c>
    </row>
    <row r="69" spans="1:8" x14ac:dyDescent="0.3">
      <c r="A69" s="12">
        <v>13</v>
      </c>
      <c r="B69" s="13" t="s">
        <v>86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158">
        <v>0</v>
      </c>
      <c r="H69" s="155" t="s">
        <v>15</v>
      </c>
    </row>
    <row r="70" spans="1:8" x14ac:dyDescent="0.3">
      <c r="A70" s="16">
        <v>14</v>
      </c>
      <c r="B70" s="17" t="s">
        <v>87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159">
        <f>390572/744000</f>
        <v>0.52496236559139786</v>
      </c>
      <c r="H70" s="146">
        <f t="shared" si="1"/>
        <v>75.076037634408607</v>
      </c>
    </row>
    <row r="71" spans="1:8" x14ac:dyDescent="0.3">
      <c r="A71" s="26"/>
      <c r="B71" s="149" t="s">
        <v>88</v>
      </c>
      <c r="C71" s="50"/>
      <c r="D71" s="48"/>
      <c r="E71" s="149"/>
      <c r="F71" s="150"/>
      <c r="G71" s="160"/>
      <c r="H71" s="150"/>
    </row>
    <row r="72" spans="1:8" x14ac:dyDescent="0.3">
      <c r="A72" s="8">
        <v>15</v>
      </c>
      <c r="B72" s="9" t="s">
        <v>89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62">
        <f>4926280/744000</f>
        <v>6.6213440860215051</v>
      </c>
      <c r="H72" s="54">
        <f t="shared" si="1"/>
        <v>94.843155913978492</v>
      </c>
    </row>
    <row r="73" spans="1:8" x14ac:dyDescent="0.3">
      <c r="A73" s="16">
        <v>16</v>
      </c>
      <c r="B73" s="17" t="s">
        <v>90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1062429/744000</f>
        <v>1.4279959677419354</v>
      </c>
      <c r="H73" s="46">
        <f t="shared" si="1"/>
        <v>15.534654032258064</v>
      </c>
    </row>
    <row r="74" spans="1:8" x14ac:dyDescent="0.3">
      <c r="A74" s="26"/>
      <c r="B74" s="149" t="s">
        <v>91</v>
      </c>
      <c r="C74" s="47"/>
      <c r="D74" s="48"/>
      <c r="E74" s="149"/>
      <c r="F74" s="150"/>
      <c r="G74" s="160"/>
      <c r="H74" s="150"/>
    </row>
    <row r="75" spans="1:8" x14ac:dyDescent="0.3">
      <c r="A75" s="8">
        <v>17</v>
      </c>
      <c r="B75" s="9" t="s">
        <v>92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7">
        <f>19389/744000</f>
        <v>2.6060483870967741E-2</v>
      </c>
      <c r="H75" s="39">
        <f t="shared" si="1"/>
        <v>21.097239516129036</v>
      </c>
    </row>
    <row r="76" spans="1:8" x14ac:dyDescent="0.3">
      <c r="A76" s="12">
        <v>18</v>
      </c>
      <c r="B76" s="13" t="s">
        <v>93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8">
        <f>983903/744000</f>
        <v>1.3224502688172044</v>
      </c>
      <c r="H76" s="40">
        <f t="shared" si="1"/>
        <v>15.640199731182795</v>
      </c>
    </row>
    <row r="77" spans="1:8" x14ac:dyDescent="0.3">
      <c r="A77" s="12">
        <v>19</v>
      </c>
      <c r="B77" s="13" t="s">
        <v>94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31">
        <f>1022137/744000</f>
        <v>1.3738400537634408</v>
      </c>
      <c r="H77" s="40">
        <f t="shared" si="1"/>
        <v>15.588809946236559</v>
      </c>
    </row>
    <row r="78" spans="1:8" x14ac:dyDescent="0.3">
      <c r="A78" s="12">
        <v>20</v>
      </c>
      <c r="B78" s="13" t="s">
        <v>95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31">
        <f>34/744000</f>
        <v>4.5698924731182797E-5</v>
      </c>
      <c r="H78" s="40">
        <f t="shared" si="1"/>
        <v>16.96260430107527</v>
      </c>
    </row>
    <row r="79" spans="1:8" x14ac:dyDescent="0.3">
      <c r="A79" s="16">
        <v>21</v>
      </c>
      <c r="B79" s="17" t="s">
        <v>96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59">
        <f>49598/744000</f>
        <v>6.666397849462366E-2</v>
      </c>
      <c r="H79" s="146">
        <f t="shared" si="1"/>
        <v>21.05663602150538</v>
      </c>
    </row>
    <row r="80" spans="1:8" x14ac:dyDescent="0.3">
      <c r="A80" s="26"/>
      <c r="B80" s="149" t="s">
        <v>97</v>
      </c>
      <c r="C80" s="50"/>
      <c r="D80" s="48"/>
      <c r="E80" s="149"/>
      <c r="F80" s="150"/>
      <c r="G80" s="160"/>
      <c r="H80" s="150"/>
    </row>
    <row r="81" spans="1:8" x14ac:dyDescent="0.3">
      <c r="A81" s="26">
        <v>22</v>
      </c>
      <c r="B81" s="27" t="s">
        <v>98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60">
        <v>0</v>
      </c>
      <c r="H81" s="53" t="s">
        <v>15</v>
      </c>
    </row>
    <row r="82" spans="1:8" hidden="1" x14ac:dyDescent="0.3">
      <c r="A82" s="26"/>
      <c r="B82" s="149" t="s">
        <v>99</v>
      </c>
      <c r="C82" s="50"/>
      <c r="D82" s="48"/>
      <c r="E82" s="149"/>
      <c r="F82" s="150"/>
      <c r="G82" s="160"/>
      <c r="H82" s="150"/>
    </row>
    <row r="83" spans="1:8" hidden="1" x14ac:dyDescent="0.3">
      <c r="A83" s="26">
        <v>23</v>
      </c>
      <c r="B83" s="27" t="s">
        <v>100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60">
        <v>0</v>
      </c>
      <c r="H83" s="53" t="s">
        <v>15</v>
      </c>
    </row>
    <row r="84" spans="1:8" x14ac:dyDescent="0.3">
      <c r="A84" s="26"/>
      <c r="B84" s="149" t="s">
        <v>101</v>
      </c>
      <c r="C84" s="50"/>
      <c r="D84" s="48"/>
      <c r="E84" s="149"/>
      <c r="F84" s="150"/>
      <c r="G84" s="160"/>
      <c r="H84" s="150"/>
    </row>
    <row r="85" spans="1:8" x14ac:dyDescent="0.3">
      <c r="A85" s="8">
        <v>24</v>
      </c>
      <c r="B85" s="9" t="s">
        <v>86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62">
        <f>20314/744000</f>
        <v>2.7303763440860215E-2</v>
      </c>
      <c r="H85" s="40">
        <f t="shared" si="1"/>
        <v>75.573696236559144</v>
      </c>
    </row>
    <row r="86" spans="1:8" x14ac:dyDescent="0.3">
      <c r="A86" s="12">
        <v>25</v>
      </c>
      <c r="B86" s="13" t="s">
        <v>102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8">
        <f>2179320/744000</f>
        <v>2.9291935483870968</v>
      </c>
      <c r="H86" s="40">
        <f t="shared" si="1"/>
        <v>98.535306451612911</v>
      </c>
    </row>
    <row r="87" spans="1:8" x14ac:dyDescent="0.3">
      <c r="A87" s="16">
        <v>26</v>
      </c>
      <c r="B87" s="17" t="s">
        <v>103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1113368/744000</f>
        <v>1.4964623655913978</v>
      </c>
      <c r="H87" s="46">
        <f t="shared" si="1"/>
        <v>11.945637634408602</v>
      </c>
    </row>
    <row r="88" spans="1:8" x14ac:dyDescent="0.3">
      <c r="A88" s="26"/>
      <c r="B88" s="149" t="s">
        <v>104</v>
      </c>
      <c r="C88" s="47"/>
      <c r="D88" s="48"/>
      <c r="E88" s="149"/>
      <c r="F88" s="150"/>
      <c r="G88" s="160"/>
      <c r="H88" s="150"/>
    </row>
    <row r="89" spans="1:8" x14ac:dyDescent="0.3">
      <c r="A89" s="8">
        <v>27</v>
      </c>
      <c r="B89" s="9" t="s">
        <v>105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62">
        <f>617056/744000</f>
        <v>0.82937634408602146</v>
      </c>
      <c r="H89" s="54">
        <f>F89-G89</f>
        <v>74.771623655913984</v>
      </c>
    </row>
    <row r="90" spans="1:8" x14ac:dyDescent="0.3">
      <c r="A90" s="16">
        <v>28</v>
      </c>
      <c r="B90" s="17" t="s">
        <v>106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f>927915/744000</f>
        <v>1.2471975806451614</v>
      </c>
      <c r="H90" s="46">
        <f>F90-G90</f>
        <v>15.715452419354838</v>
      </c>
    </row>
    <row r="91" spans="1:8" x14ac:dyDescent="0.3">
      <c r="A91" s="26"/>
      <c r="B91" s="149" t="s">
        <v>107</v>
      </c>
      <c r="C91" s="50"/>
      <c r="D91" s="48"/>
      <c r="E91" s="149"/>
      <c r="F91" s="150"/>
      <c r="G91" s="160"/>
      <c r="H91" s="150"/>
    </row>
    <row r="92" spans="1:8" x14ac:dyDescent="0.3">
      <c r="A92" s="26">
        <v>29</v>
      </c>
      <c r="B92" s="27" t="s">
        <v>108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60">
        <f>91885/744000</f>
        <v>0.12350134408602151</v>
      </c>
      <c r="H92" s="52">
        <f t="shared" si="1"/>
        <v>16.839148655913977</v>
      </c>
    </row>
    <row r="93" spans="1:8" x14ac:dyDescent="0.3">
      <c r="A93" s="26"/>
      <c r="B93" s="149" t="s">
        <v>109</v>
      </c>
      <c r="C93" s="50"/>
      <c r="D93" s="48"/>
      <c r="E93" s="149"/>
      <c r="F93" s="150"/>
      <c r="G93" s="160"/>
      <c r="H93" s="150"/>
    </row>
    <row r="94" spans="1:8" x14ac:dyDescent="0.3">
      <c r="A94" s="26">
        <v>30</v>
      </c>
      <c r="B94" s="27" t="s">
        <v>110</v>
      </c>
      <c r="C94" s="47">
        <v>65</v>
      </c>
      <c r="D94" s="48" t="s">
        <v>111</v>
      </c>
      <c r="E94" s="24">
        <v>35</v>
      </c>
      <c r="F94" s="52">
        <f>1.73*37*265/1000</f>
        <v>16.96265</v>
      </c>
      <c r="G94" s="160">
        <f>1733249/744000</f>
        <v>2.3296357526881719</v>
      </c>
      <c r="H94" s="52">
        <f t="shared" si="1"/>
        <v>14.633014247311827</v>
      </c>
    </row>
    <row r="95" spans="1:8" x14ac:dyDescent="0.3">
      <c r="A95" s="26"/>
      <c r="B95" s="149" t="s">
        <v>112</v>
      </c>
      <c r="C95" s="47"/>
      <c r="D95" s="48"/>
      <c r="E95" s="149"/>
      <c r="F95" s="150"/>
      <c r="G95" s="160"/>
      <c r="H95" s="150"/>
    </row>
    <row r="96" spans="1:8" x14ac:dyDescent="0.3">
      <c r="A96" s="8">
        <v>31</v>
      </c>
      <c r="B96" s="9" t="s">
        <v>113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7">
        <f>3672/744000</f>
        <v>4.9354838709677416E-3</v>
      </c>
      <c r="H96" s="39">
        <f t="shared" si="1"/>
        <v>16.957714516129034</v>
      </c>
    </row>
    <row r="97" spans="1:8" x14ac:dyDescent="0.3">
      <c r="A97" s="16">
        <v>32</v>
      </c>
      <c r="B97" s="17" t="s">
        <v>114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62552/744000</f>
        <v>8.4075268817204299E-2</v>
      </c>
      <c r="H97" s="46">
        <f t="shared" si="1"/>
        <v>21.039224731182799</v>
      </c>
    </row>
    <row r="98" spans="1:8" x14ac:dyDescent="0.3">
      <c r="A98" s="26"/>
      <c r="B98" s="149" t="s">
        <v>115</v>
      </c>
      <c r="C98" s="57"/>
      <c r="D98" s="58"/>
      <c r="E98" s="149"/>
      <c r="F98" s="150"/>
      <c r="G98" s="160"/>
      <c r="H98" s="150"/>
    </row>
    <row r="99" spans="1:8" x14ac:dyDescent="0.3">
      <c r="A99" s="26">
        <v>33</v>
      </c>
      <c r="B99" s="27" t="s">
        <v>116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60">
        <f>12457/744000</f>
        <v>1.6743279569892473E-2</v>
      </c>
      <c r="H99" s="52">
        <f t="shared" si="1"/>
        <v>16.945906720430109</v>
      </c>
    </row>
    <row r="100" spans="1:8" x14ac:dyDescent="0.3">
      <c r="A100" s="26"/>
      <c r="B100" s="149" t="s">
        <v>117</v>
      </c>
      <c r="C100" s="57"/>
      <c r="D100" s="58"/>
      <c r="E100" s="149"/>
      <c r="F100" s="150"/>
      <c r="G100" s="160"/>
      <c r="H100" s="150"/>
    </row>
    <row r="101" spans="1:8" x14ac:dyDescent="0.3">
      <c r="A101" s="26">
        <v>34</v>
      </c>
      <c r="B101" s="27" t="s">
        <v>118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60">
        <f>526356/744000</f>
        <v>0.7074677419354839</v>
      </c>
      <c r="H101" s="52">
        <f t="shared" si="1"/>
        <v>20.415832258064519</v>
      </c>
    </row>
    <row r="102" spans="1:8" x14ac:dyDescent="0.3">
      <c r="A102" s="26"/>
      <c r="B102" s="149" t="s">
        <v>119</v>
      </c>
      <c r="C102" s="57"/>
      <c r="D102" s="58"/>
      <c r="E102" s="149"/>
      <c r="F102" s="150"/>
      <c r="G102" s="160"/>
      <c r="H102" s="150"/>
    </row>
    <row r="103" spans="1:8" x14ac:dyDescent="0.3">
      <c r="A103" s="8">
        <v>35</v>
      </c>
      <c r="B103" s="9" t="s">
        <v>120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7">
        <f>47390/744000</f>
        <v>6.3696236559139779E-2</v>
      </c>
      <c r="H103" s="39">
        <f t="shared" si="1"/>
        <v>16.898953763440861</v>
      </c>
    </row>
    <row r="104" spans="1:8" x14ac:dyDescent="0.3">
      <c r="A104" s="12">
        <v>36</v>
      </c>
      <c r="B104" s="13" t="s">
        <v>121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8">
        <f>68516/744000</f>
        <v>9.2091397849462367E-2</v>
      </c>
      <c r="H104" s="72">
        <f t="shared" si="1"/>
        <v>16.870558602150538</v>
      </c>
    </row>
    <row r="105" spans="1:8" x14ac:dyDescent="0.3">
      <c r="A105" s="16">
        <v>37</v>
      </c>
      <c r="B105" s="17" t="s">
        <v>122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8">
        <f>97818/744000</f>
        <v>0.13147580645161291</v>
      </c>
      <c r="H105" s="72">
        <f t="shared" si="1"/>
        <v>16.831174193548389</v>
      </c>
    </row>
    <row r="106" spans="1:8" x14ac:dyDescent="0.3">
      <c r="A106" s="26"/>
      <c r="B106" s="149" t="s">
        <v>123</v>
      </c>
      <c r="C106" s="57"/>
      <c r="D106" s="58"/>
      <c r="E106" s="149"/>
      <c r="F106" s="150"/>
      <c r="G106" s="160"/>
      <c r="H106" s="150"/>
    </row>
    <row r="107" spans="1:8" x14ac:dyDescent="0.3">
      <c r="A107" s="8">
        <v>38</v>
      </c>
      <c r="B107" s="9" t="s">
        <v>124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7">
        <f>104507/744000</f>
        <v>0.14046639784946235</v>
      </c>
      <c r="H107" s="39">
        <f t="shared" si="1"/>
        <v>16.822183602150538</v>
      </c>
    </row>
    <row r="108" spans="1:8" x14ac:dyDescent="0.3">
      <c r="A108" s="16">
        <v>39</v>
      </c>
      <c r="B108" s="17" t="s">
        <v>125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88074/744000</f>
        <v>0.11837903225806451</v>
      </c>
      <c r="H108" s="46">
        <f t="shared" si="1"/>
        <v>24.205420967741937</v>
      </c>
    </row>
    <row r="109" spans="1:8" x14ac:dyDescent="0.3">
      <c r="A109" s="3"/>
      <c r="B109" s="2"/>
      <c r="C109" s="2"/>
      <c r="D109" s="2"/>
      <c r="E109" s="3"/>
      <c r="F109" s="2"/>
    </row>
    <row r="110" spans="1:8" x14ac:dyDescent="0.3">
      <c r="A110" s="3"/>
      <c r="B110" s="2"/>
      <c r="C110" s="2"/>
      <c r="D110" s="2"/>
      <c r="E110" s="3"/>
      <c r="F110" s="2"/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июль 2024г.</vt:lpstr>
      <vt:lpstr>БЭУ за июль 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2024-08-13T10:45:33Z</dcterms:modified>
</cp:coreProperties>
</file>