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июль 2024г." sheetId="3" r:id="rId1"/>
    <sheet name="БЭУ за июль 2024г." sheetId="2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7" l="1"/>
  <c r="F108" i="27"/>
  <c r="H108" i="27" s="1"/>
  <c r="H107" i="27"/>
  <c r="G107" i="27"/>
  <c r="F107" i="27"/>
  <c r="G105" i="27"/>
  <c r="H105" i="27" s="1"/>
  <c r="F105" i="27"/>
  <c r="G104" i="27"/>
  <c r="F104" i="27"/>
  <c r="H104" i="27" s="1"/>
  <c r="G103" i="27"/>
  <c r="F103" i="27"/>
  <c r="H103" i="27" s="1"/>
  <c r="H101" i="27"/>
  <c r="G101" i="27"/>
  <c r="F101" i="27"/>
  <c r="G99" i="27"/>
  <c r="H99" i="27" s="1"/>
  <c r="F99" i="27"/>
  <c r="G97" i="27"/>
  <c r="F97" i="27"/>
  <c r="H97" i="27" s="1"/>
  <c r="G96" i="27"/>
  <c r="F96" i="27"/>
  <c r="H96" i="27" s="1"/>
  <c r="H94" i="27"/>
  <c r="G94" i="27"/>
  <c r="F94" i="27"/>
  <c r="G92" i="27"/>
  <c r="H92" i="27" s="1"/>
  <c r="F92" i="27"/>
  <c r="G90" i="27"/>
  <c r="F90" i="27"/>
  <c r="H90" i="27" s="1"/>
  <c r="G89" i="27"/>
  <c r="F89" i="27"/>
  <c r="H89" i="27" s="1"/>
  <c r="H87" i="27"/>
  <c r="G87" i="27"/>
  <c r="F87" i="27"/>
  <c r="G86" i="27"/>
  <c r="H86" i="27" s="1"/>
  <c r="F86" i="27"/>
  <c r="G85" i="27"/>
  <c r="F85" i="27"/>
  <c r="H85" i="27" s="1"/>
  <c r="F83" i="27"/>
  <c r="F81" i="27"/>
  <c r="G79" i="27"/>
  <c r="H79" i="27" s="1"/>
  <c r="F79" i="27"/>
  <c r="G78" i="27"/>
  <c r="F78" i="27"/>
  <c r="H78" i="27" s="1"/>
  <c r="G77" i="27"/>
  <c r="F77" i="27"/>
  <c r="H77" i="27" s="1"/>
  <c r="H76" i="27"/>
  <c r="G76" i="27"/>
  <c r="F76" i="27"/>
  <c r="G75" i="27"/>
  <c r="H75" i="27" s="1"/>
  <c r="F75" i="27"/>
  <c r="G73" i="27"/>
  <c r="F73" i="27"/>
  <c r="H73" i="27" s="1"/>
  <c r="G72" i="27"/>
  <c r="F72" i="27"/>
  <c r="H72" i="27" s="1"/>
  <c r="H70" i="27"/>
  <c r="G70" i="27"/>
  <c r="F70" i="27"/>
  <c r="F69" i="27"/>
  <c r="H68" i="27"/>
  <c r="G68" i="27"/>
  <c r="F68" i="27"/>
  <c r="G66" i="27"/>
  <c r="H66" i="27" s="1"/>
  <c r="F66" i="27"/>
  <c r="G65" i="27"/>
  <c r="F65" i="27"/>
  <c r="H65" i="27" s="1"/>
  <c r="G64" i="27"/>
  <c r="F64" i="27"/>
  <c r="H64" i="27" s="1"/>
  <c r="H63" i="27"/>
  <c r="G63" i="27"/>
  <c r="F63" i="27"/>
  <c r="G62" i="27"/>
  <c r="H62" i="27" s="1"/>
  <c r="F62" i="27"/>
  <c r="G61" i="27"/>
  <c r="F61" i="27"/>
  <c r="H61" i="27" s="1"/>
  <c r="G60" i="27"/>
  <c r="F60" i="27"/>
  <c r="H60" i="27" s="1"/>
  <c r="H59" i="27"/>
  <c r="G59" i="27"/>
  <c r="F59" i="27"/>
  <c r="G58" i="27"/>
  <c r="H58" i="27" s="1"/>
  <c r="F58" i="27"/>
  <c r="G57" i="27"/>
  <c r="F57" i="27"/>
  <c r="H57" i="27" s="1"/>
  <c r="G56" i="27"/>
  <c r="F56" i="27"/>
  <c r="H56" i="27" s="1"/>
  <c r="H49" i="27"/>
  <c r="G49" i="27"/>
  <c r="G47" i="27"/>
  <c r="H47" i="27" s="1"/>
  <c r="H44" i="27"/>
  <c r="G44" i="27"/>
  <c r="G43" i="27"/>
  <c r="H43" i="27" s="1"/>
  <c r="H42" i="27"/>
  <c r="G42" i="27"/>
  <c r="G40" i="27"/>
  <c r="H40" i="27" s="1"/>
  <c r="H39" i="27"/>
  <c r="G39" i="27"/>
  <c r="G37" i="27"/>
  <c r="H37" i="27" s="1"/>
  <c r="H34" i="27"/>
  <c r="G34" i="27"/>
  <c r="G33" i="27"/>
  <c r="H33" i="27" s="1"/>
  <c r="H31" i="27"/>
  <c r="G31" i="27"/>
  <c r="G30" i="27"/>
  <c r="H30" i="27" s="1"/>
  <c r="H29" i="27"/>
  <c r="G29" i="27"/>
  <c r="G28" i="27"/>
  <c r="H28" i="27" s="1"/>
  <c r="H27" i="27"/>
  <c r="G27" i="27"/>
  <c r="G25" i="27"/>
  <c r="H25" i="27" s="1"/>
  <c r="H24" i="27"/>
  <c r="G24" i="27"/>
  <c r="G23" i="27"/>
  <c r="H23" i="27" s="1"/>
  <c r="H21" i="27"/>
  <c r="G21" i="27"/>
  <c r="G20" i="27"/>
  <c r="H20" i="27" s="1"/>
  <c r="H19" i="27"/>
  <c r="G19" i="27"/>
  <c r="G17" i="27"/>
  <c r="H17" i="27" s="1"/>
  <c r="H16" i="27"/>
  <c r="G16" i="27"/>
  <c r="G15" i="27"/>
  <c r="H15" i="27" s="1"/>
  <c r="H14" i="27"/>
  <c r="G14" i="27"/>
  <c r="G13" i="27"/>
  <c r="H13" i="27" s="1"/>
  <c r="H12" i="27"/>
  <c r="G12" i="27"/>
  <c r="G11" i="27"/>
  <c r="H11" i="27" s="1"/>
  <c r="G102" i="3" l="1"/>
  <c r="G30" i="3"/>
  <c r="G43" i="3"/>
  <c r="G17" i="3"/>
  <c r="G16" i="3"/>
  <c r="G28" i="3"/>
  <c r="G87" i="3"/>
  <c r="G107" i="3"/>
  <c r="G106" i="3"/>
  <c r="G105" i="3"/>
  <c r="G104" i="3"/>
  <c r="G24" i="3"/>
  <c r="G26" i="3"/>
  <c r="G90" i="3"/>
  <c r="G96" i="3"/>
  <c r="G93" i="3"/>
  <c r="G15" i="3"/>
  <c r="G100" i="3"/>
  <c r="G99" i="3"/>
  <c r="G98" i="3"/>
  <c r="G94" i="3"/>
  <c r="G92" i="3"/>
  <c r="G22" i="3"/>
  <c r="G21" i="3"/>
  <c r="G20" i="3"/>
  <c r="G69" i="3"/>
  <c r="G68" i="3"/>
  <c r="G19" i="3"/>
  <c r="G18" i="3"/>
  <c r="G85" i="3"/>
  <c r="G84" i="3"/>
  <c r="G53" i="3"/>
  <c r="G52" i="3"/>
  <c r="G47" i="3"/>
  <c r="G46" i="3"/>
  <c r="G45" i="3"/>
  <c r="G39" i="3"/>
  <c r="G38" i="3"/>
  <c r="G66" i="3"/>
  <c r="G65" i="3"/>
  <c r="G13" i="3"/>
  <c r="G12" i="3"/>
  <c r="G78" i="3"/>
  <c r="G77" i="3"/>
  <c r="G76" i="3"/>
  <c r="G75" i="3"/>
  <c r="G74" i="3"/>
  <c r="G73" i="3"/>
  <c r="G72" i="3"/>
  <c r="G71" i="3"/>
  <c r="G51" i="3"/>
  <c r="G50" i="3"/>
  <c r="G49" i="3"/>
  <c r="G35" i="3"/>
  <c r="G34" i="3"/>
  <c r="G37" i="3"/>
  <c r="G36" i="3"/>
  <c r="H64" i="3" l="1"/>
  <c r="G81" i="3" l="1"/>
  <c r="G80" i="3"/>
  <c r="G82" i="3"/>
  <c r="H51" i="3" l="1"/>
  <c r="G59" i="3" l="1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<sst xmlns="http://schemas.openxmlformats.org/spreadsheetml/2006/main" count="492" uniqueCount="312">
  <si>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</si>
  <si>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</si>
  <si>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</si>
  <si>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</si>
  <si>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</si>
  <si>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</si>
  <si>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</si>
  <si>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</si>
  <si>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</si>
  <si>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</si>
  <si>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</si>
  <si>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</si>
  <si>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</si>
  <si>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</si>
  <si>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</si>
  <si>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</si>
  <si>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</si>
  <si>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</si>
  <si>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</si>
  <si>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</si>
  <si>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</si>
  <si>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</si>
  <si>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</si>
  <si>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</si>
  <si>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</si>
  <si>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</si>
  <si>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</si>
  <si>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</si>
  <si>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</si>
  <si>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</si>
  <si>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</si>
  <si>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</si>
  <si>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</si>
  <si>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</si>
  <si>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</si>
  <si>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</si>
  <si>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</si>
  <si>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</si>
  <si>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</si>
  <si>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</si>
  <si>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</si>
  <si>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</si>
  <si>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</si>
  <si>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</si>
  <si>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</si>
  <si>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</si>
  <si>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</si>
  <si>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</si>
  <si>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</si>
  <si>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</si>
  <si>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</si>
  <si>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</si>
  <si>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</si>
  <si>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</si>
  <si>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</si>
  <si>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</si>
  <si>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</si>
  <si>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</si>
  <si>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</si>
  <si>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</si>
  <si>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</si>
  <si>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</si>
  <si>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</si>
  <si>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</si>
  <si>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</si>
  <si>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</si>
  <si>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</si>
  <si>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</si>
  <si>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</si>
  <si>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</si>
  <si>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</si>
  <si>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</si>
  <si>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</si>
  <si>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</si>
  <si>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</si>
  <si>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</si>
  <si>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</si>
  <si>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</si>
  <si>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</si>
  <si>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</si>
  <si>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</si>
  <si>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</si>
  <si>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</si>
  <si>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</si>
  <si>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</si>
  <si>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</si>
  <si>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</si>
  <si>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</si>
  <si>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</si>
  <si>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</si>
  <si>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</si>
  <si>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</si>
  <si>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</si>
  <si>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</si>
  <si>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</si>
  <si>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</si>
  <si>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</si>
  <si>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</si>
  <si>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</si>
  <si>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</si>
  <si>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</si>
  <si>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</si>
  <si>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</si>
  <si>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</si>
  <si>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</si>
  <si>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</si>
  <si>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</si>
  <si>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</si>
  <si>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</si>
  <si>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</si>
  <si>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</si>
  <si>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</si>
  <si>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</si>
  <si>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</si>
  <si>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</si>
  <si>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</si>
  <si>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</si>
  <si>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</si>
  <si>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</si>
  <si>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</si>
  <si>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</si>
  <si>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</si>
  <si>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</si>
  <si>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</si>
  <si>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</si>
  <si>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</si>
  <si>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</si>
  <si>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</si>
  <si>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</si>
  <si>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</si>
  <si>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</si>
  <si>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</si>
  <si>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</si>
  <si>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</si>
  <si>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</si>
  <si>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</si>
  <si>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</si>
  <si>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</si>
  <si>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</si>
  <si>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</si>
  <si>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</si>
  <si>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</si>
  <si>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</si>
  <si>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</si>
  <si>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</si>
  <si>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</si>
  <si>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</si>
  <si>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</si>
  <si>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</si>
  <si>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</si>
  <si>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</si>
  <si>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</si>
  <si>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</si>
  <si>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</si>
  <si>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</si>
  <si>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</si>
  <si>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</si>
  <si>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</si>
  <si>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</si>
  <si>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</si>
  <si>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</si>
  <si>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</si>
  <si>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</si>
  <si>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</si>
  <si>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</si>
  <si>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</si>
  <si>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</si>
  <si>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</si>
  <si>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</si>
  <si>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</si>
  <si>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</si>
  <si>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</si>
  <si>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</si>
  <si>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</si>
  <si>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</si>
  <si>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</si>
  <si>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</si>
  <si>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</si>
  <si>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</si>
  <si>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</si>
  <si>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</si>
  <si>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</si>
  <si>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</si>
  <si>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</si>
  <si>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</si>
  <si>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</si>
  <si>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</si>
  <si>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</si>
  <si>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</si>
  <si>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</si>
  <si>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</si>
  <si>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</si>
  <si>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</si>
  <si>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</si>
  <si>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</si>
  <si>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</si>
  <si>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</si>
  <si>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</si>
  <si>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</si>
  <si>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</si>
  <si>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</si>
  <si>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</si>
  <si>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</si>
  <si>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</si>
  <si>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</si>
  <si>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</si>
  <si>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</si>
  <si>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</si>
  <si>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</si>
  <si>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</si>
  <si>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</si>
  <si>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</si>
  <si>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</si>
  <si>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</si>
  <si>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</si>
  <si>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</si>
  <si>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</si>
  <si>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</si>
  <si>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</si>
  <si>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</si>
  <si>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</si>
  <si>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</si>
  <si>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</si>
  <si>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</si>
  <si>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</si>
  <si>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</si>
  <si>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</si>
  <si>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</si>
  <si>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</si>
  <si>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</si>
  <si>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</si>
  <si>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</si>
  <si>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</si>
  <si>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</si>
  <si>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</si>
  <si>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</si>
  <si>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</si>
  <si>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</si>
  <si>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</si>
  <si>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</si>
  <si>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</si>
  <si>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</si>
  <si>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</si>
  <si>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</si>
  <si>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</si>
  <si>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</si>
  <si>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</si>
  <si>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</si>
  <si>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</si>
  <si>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</si>
  <si>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</si>
  <si>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</si>
  <si>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</si>
  <si>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</si>
  <si>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</si>
  <si>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</si>
  <si>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</si>
  <si>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</si>
  <si>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</si>
  <si>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</si>
  <si>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</si>
  <si>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</si>
  <si>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</si>
  <si>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</si>
  <si>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</si>
  <si>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</si>
  <si>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</si>
  <si>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</si>
  <si>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</si>
  <si>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</si>
  <si>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</si>
  <si>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</si>
  <si>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</si>
  <si>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</si>
  <si>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</si>
  <si>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</si>
  <si>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</si>
  <si>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</si>
  <si>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</si>
  <si>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</si>
  <si>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</si>
  <si>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</si>
  <si>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</si>
  <si>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</si>
  <si>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</si>
  <si>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</si>
  <si>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</si>
  <si>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</si>
  <si>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</si>
  <si>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</si>
  <si>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</si>
  <si>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</si>
  <si>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</si>
  <si>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</si>
  <si>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</si>
  <si>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</si>
  <si>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</si>
  <si>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</si>
  <si>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</si>
  <si>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</si>
  <si>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</si>
  <si>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</si>
  <si>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</si>
  <si>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</si>
  <si>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</si>
  <si>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</si>
  <si>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</si>
  <si>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</si>
  <si>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</si>
  <si>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</si>
  <si>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Июль 2024 года</t>
  </si>
  <si>
    <t>за июль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</si>
</sst>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169" fontId="4" fillId="3" borderId="24" xfId="3" applyNumberFormat="1" applyFont="1" applyFill="1" applyBorder="1" applyAlignment="1">
      <alignment horizontal="center"/>
    </xf>
    <xf numFmtId="165" fontId="2" fillId="0" borderId="31" xfId="1" applyNumberFormat="1" applyFont="1" applyFill="1" applyBorder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opLeftCell="A85" zoomScale="85" zoomScaleNormal="85" zoomScaleSheetLayoutView="135" workbookViewId="0">
      <selection activeCell="G102" sqref="G102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7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7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3" t="s">
        <v>311</v>
      </c>
      <c r="H5" s="173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4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5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744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52">
        <f>(8488392+84930)/H9/1000</f>
        <v>11.523282258064517</v>
      </c>
      <c r="H12" s="108">
        <f>F12/1000-G12</f>
        <v>51.476717741935481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52">
        <f>(859376+71400)/H9/1000</f>
        <v>1.2510430107526882</v>
      </c>
      <c r="H13" s="108">
        <f>F13/1000-G13</f>
        <v>61.748956989247311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52">
        <f>318486/H9/1000</f>
        <v>0.42807258064516129</v>
      </c>
      <c r="H15" s="108">
        <f t="shared" ref="H15:H21" si="0">F15/1000-G15</f>
        <v>5.8719274193548383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52">
        <f>285854/H9/1000</f>
        <v>0.38421236559139782</v>
      </c>
      <c r="H16" s="108">
        <f t="shared" si="0"/>
        <v>15.615787634408601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52">
        <f>125639/H9/1000</f>
        <v>0.16886962365591399</v>
      </c>
      <c r="H17" s="108">
        <f t="shared" si="0"/>
        <v>15.831130376344086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52">
        <f>233964/H9/1000</f>
        <v>0.31446774193548382</v>
      </c>
      <c r="H18" s="108">
        <f t="shared" si="0"/>
        <v>15.685532258064516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52">
        <f>453852/H9/1000</f>
        <v>0.6100161290322581</v>
      </c>
      <c r="H19" s="108">
        <f t="shared" si="0"/>
        <v>15.389983870967741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52">
        <f>1365320/H9/1000</f>
        <v>1.8351075268817203</v>
      </c>
      <c r="H20" s="108">
        <f t="shared" si="0"/>
        <v>38.164892473118279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52">
        <f>740080/H9/1000</f>
        <v>0.99473118279569894</v>
      </c>
      <c r="H21" s="108">
        <f t="shared" si="0"/>
        <v>39.005268817204303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52">
        <f>(678216+0)/H9/1000</f>
        <v>0.91158064516129034</v>
      </c>
      <c r="H22" s="108">
        <f>F22/1000-G22</f>
        <v>9.0884193548387096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52">
        <f>(0+0)/H9/1000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52">
        <f>(366212)/H9/1000</f>
        <v>0.49222043010752692</v>
      </c>
      <c r="H24" s="108">
        <f>F24/1000-G24</f>
        <v>5.8077795698924728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52">
        <f>100794/H9/1000</f>
        <v>0.13547580645161289</v>
      </c>
      <c r="H26" s="108">
        <f>F26/1000-G26</f>
        <v>0.86452419354838717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52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52">
        <f>15532/H9/1000</f>
        <v>2.0876344086021504E-2</v>
      </c>
      <c r="H28" s="108">
        <f>F28/1000-G28</f>
        <v>0.97912365591397854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52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52">
        <f>34293/H9/1000</f>
        <v>4.609274193548387E-2</v>
      </c>
      <c r="H30" s="108">
        <f>F30/1000-G30</f>
        <v>6.2539072580645163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52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52">
        <f>(9190368)/H9/1000</f>
        <v>12.352645161290322</v>
      </c>
      <c r="H34" s="108">
        <f>F34/1000-G34</f>
        <v>12.647354838709678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52">
        <f>(12831456)/H9/1000</f>
        <v>17.246580645161291</v>
      </c>
      <c r="H35" s="108">
        <f>F35/1000-G35</f>
        <v>7.7534193548387087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52">
        <f>2618616/H9/1000</f>
        <v>3.5196451612903226</v>
      </c>
      <c r="H36" s="108">
        <f t="shared" ref="H36:H41" si="1">F36/1000-G36</f>
        <v>36.48035483870968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52">
        <f>2748240/H9/1000</f>
        <v>3.6938709677419355</v>
      </c>
      <c r="H37" s="108">
        <f t="shared" si="1"/>
        <v>36.306129032258063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52">
        <f>4536048/H9/1000</f>
        <v>6.0968387096774199</v>
      </c>
      <c r="H38" s="108">
        <f t="shared" si="1"/>
        <v>13.903161290322579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52">
        <f>2796112/H9/1000</f>
        <v>3.7582150537634407</v>
      </c>
      <c r="H39" s="108">
        <f t="shared" si="1"/>
        <v>16.24178494623656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52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52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52">
        <f>184712/H9/1000</f>
        <v>0.24826881720430108</v>
      </c>
      <c r="H43" s="108">
        <f>F43/1000-G43</f>
        <v>6.0517311827956988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52">
        <f>736542/H9/1000</f>
        <v>0.98997580645161287</v>
      </c>
      <c r="H45" s="108">
        <f>F45/1000-G45</f>
        <v>5.3100241935483865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52">
        <f>8102/H9/1000</f>
        <v>1.0889784946236559E-2</v>
      </c>
      <c r="H46" s="108">
        <f t="shared" ref="H46:H53" si="2">F46/1000-G46</f>
        <v>2.4891102150537634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52">
        <f>294718/H9/1000</f>
        <v>0.39612634408602149</v>
      </c>
      <c r="H47" s="108">
        <f t="shared" si="2"/>
        <v>5.9038736559139782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52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52">
        <f>337960/H9/1000</f>
        <v>0.45424731182795697</v>
      </c>
      <c r="H49" s="108">
        <f t="shared" si="2"/>
        <v>2.0457526881720431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52">
        <f>1848/H9/1000</f>
        <v>2.4838709677419356E-3</v>
      </c>
      <c r="H50" s="108">
        <f t="shared" si="2"/>
        <v>1.7975161290322581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52">
        <f>952686/H9/1000</f>
        <v>1.2804919354838711</v>
      </c>
      <c r="H51" s="108">
        <f>F51/1000-G51</f>
        <v>0.31950806451612901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52">
        <f>(20226)/H9/1000</f>
        <v>2.7185483870967739E-2</v>
      </c>
      <c r="H52" s="108">
        <f t="shared" si="2"/>
        <v>0.22281451612903225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8">
        <f>(8400)/H9/1000</f>
        <v>1.1290322580645162E-2</v>
      </c>
      <c r="H53" s="118">
        <f t="shared" si="2"/>
        <v>0.61870967741935479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76" t="s">
        <v>231</v>
      </c>
      <c r="H57" s="176"/>
    </row>
    <row r="58" spans="1:14" x14ac:dyDescent="0.3">
      <c r="B58" s="177" t="s">
        <v>232</v>
      </c>
      <c r="C58" s="178"/>
      <c r="D58" s="178"/>
      <c r="E58" s="178"/>
      <c r="F58" s="178"/>
      <c r="G58" s="178"/>
      <c r="H58" s="178"/>
    </row>
    <row r="59" spans="1:14" ht="18" x14ac:dyDescent="0.35">
      <c r="B59" s="124"/>
      <c r="C59" s="125"/>
      <c r="D59" s="124" t="s">
        <v>233</v>
      </c>
      <c r="E59" s="121"/>
      <c r="G59" s="179" t="str">
        <f>G5</f>
        <v>за июль 2024г.</v>
      </c>
      <c r="H59" s="179"/>
    </row>
    <row r="60" spans="1:14" x14ac:dyDescent="0.3">
      <c r="A60" s="170" t="s">
        <v>139</v>
      </c>
      <c r="B60" s="170" t="s">
        <v>234</v>
      </c>
      <c r="C60" s="126" t="s">
        <v>235</v>
      </c>
      <c r="D60" s="170" t="s">
        <v>236</v>
      </c>
      <c r="E60" s="126" t="s">
        <v>237</v>
      </c>
      <c r="F60" s="127" t="s">
        <v>238</v>
      </c>
      <c r="G60" s="170" t="s">
        <v>239</v>
      </c>
      <c r="H60" s="128" t="s">
        <v>240</v>
      </c>
    </row>
    <row r="61" spans="1:14" x14ac:dyDescent="0.3">
      <c r="A61" s="171"/>
      <c r="B61" s="171"/>
      <c r="C61" s="129" t="s">
        <v>241</v>
      </c>
      <c r="D61" s="171"/>
      <c r="E61" s="129" t="s">
        <v>242</v>
      </c>
      <c r="F61" s="130" t="s">
        <v>243</v>
      </c>
      <c r="G61" s="172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744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52">
        <f>5241126/H64/1000</f>
        <v>7.0445241935483871</v>
      </c>
      <c r="H65" s="142">
        <f>F65-G65</f>
        <v>49.455475806451616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52">
        <f>5041674/H64/1000</f>
        <v>6.7764435483870962</v>
      </c>
      <c r="H66" s="142">
        <f t="shared" ref="H66:H107" si="3">F66-G66</f>
        <v>49.723556451612907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52">
        <f>(6721000-1925000)/H64/1000</f>
        <v>6.446236559139785</v>
      </c>
      <c r="H68" s="142">
        <f t="shared" si="3"/>
        <v>50.053763440860216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52">
        <f>(6853000-2075000)/H64/1000</f>
        <v>6.422043010752688</v>
      </c>
      <c r="H69" s="142">
        <f t="shared" si="3"/>
        <v>50.077956989247312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52">
        <f>66934/H64/1000</f>
        <v>8.9965053763440869E-2</v>
      </c>
      <c r="H71" s="142">
        <f t="shared" si="3"/>
        <v>11.310034946236559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52">
        <f>31549/H64/1000</f>
        <v>4.2404569892473119E-2</v>
      </c>
      <c r="H72" s="142">
        <f t="shared" si="3"/>
        <v>14.357595430107526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52">
        <f>401195/H64/1000</f>
        <v>0.53924059139784952</v>
      </c>
      <c r="H73" s="142">
        <f t="shared" si="3"/>
        <v>10.860759408602151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52">
        <f>977655/H64/1000</f>
        <v>1.3140524193548389</v>
      </c>
      <c r="H74" s="142">
        <f t="shared" si="3"/>
        <v>16.585947580645161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52">
        <f>53592/H64/1000</f>
        <v>7.203225806451613E-2</v>
      </c>
      <c r="H75" s="142">
        <f t="shared" si="3"/>
        <v>17.827967741935481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52">
        <f>859278/H64/1000</f>
        <v>1.1549435483870969</v>
      </c>
      <c r="H76" s="142">
        <f t="shared" si="3"/>
        <v>16.745056451612903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52">
        <f>201337/H64/1000</f>
        <v>0.27061424731182798</v>
      </c>
      <c r="H77" s="142">
        <f t="shared" si="3"/>
        <v>17.629385752688172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52">
        <f>328041/H64/1000</f>
        <v>0.4409153225806452</v>
      </c>
      <c r="H78" s="142">
        <f t="shared" si="3"/>
        <v>17.459084677419355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52">
        <f>191776/H64/1000</f>
        <v>0.25776344086021502</v>
      </c>
      <c r="H80" s="142">
        <f t="shared" si="3"/>
        <v>9.2422365591397853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52">
        <f>56035/H64/1000</f>
        <v>7.5315860215053765E-2</v>
      </c>
      <c r="H81" s="142">
        <f t="shared" si="3"/>
        <v>9.4246841397849455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52">
        <f>181622/H64/1000</f>
        <v>0.24411559139784947</v>
      </c>
      <c r="H82" s="142">
        <f t="shared" si="3"/>
        <v>11.155884408602152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52">
        <f>70686/H64/1000</f>
        <v>9.5008064516129045E-2</v>
      </c>
      <c r="H84" s="142">
        <f t="shared" si="3"/>
        <v>20.60499193548387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52">
        <f>1158654/H64/1000</f>
        <v>1.5573306451612903</v>
      </c>
      <c r="H85" s="142">
        <f t="shared" si="3"/>
        <v>19.142669354838709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52">
        <f>241150/H64/1000</f>
        <v>0.32412634408602148</v>
      </c>
      <c r="H87" s="142">
        <f t="shared" si="3"/>
        <v>11.075873655913979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52">
        <f>137525/H64/1000</f>
        <v>0.18484543010752688</v>
      </c>
      <c r="H90" s="142">
        <f t="shared" si="3"/>
        <v>14.215154569892473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52">
        <f>1081943/H64/1000</f>
        <v>1.4542244623655913</v>
      </c>
      <c r="H92" s="142">
        <f t="shared" si="3"/>
        <v>55.045775537634405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52">
        <f>335524/H64/1000</f>
        <v>0.45097311827956993</v>
      </c>
      <c r="H93" s="142">
        <f t="shared" si="3"/>
        <v>64.549026881720437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52">
        <f>535167/H64/1000</f>
        <v>0.71931048387096763</v>
      </c>
      <c r="H94" s="142">
        <f t="shared" si="3"/>
        <v>10.680689516129032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52">
        <f>318649/H64/1000</f>
        <v>0.42829166666666668</v>
      </c>
      <c r="H96" s="142">
        <f t="shared" si="3"/>
        <v>10.971708333333334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52">
        <f>62307/H64/1000</f>
        <v>8.374596774193549E-2</v>
      </c>
      <c r="H98" s="142">
        <f t="shared" si="3"/>
        <v>56.416254032258067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52">
        <f>(375144-0)/H64/1000</f>
        <v>0.50422580645161297</v>
      </c>
      <c r="H99" s="142">
        <f t="shared" si="3"/>
        <v>55.995774193548385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52">
        <f>63693/H64/1000</f>
        <v>8.5608870967741932E-2</v>
      </c>
      <c r="H100" s="142">
        <f t="shared" si="3"/>
        <v>11.314391129032259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52">
        <f>26828/H64/1000</f>
        <v>3.6059139784946237E-2</v>
      </c>
      <c r="H102" s="142">
        <f t="shared" si="3"/>
        <v>17.863940860215052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52">
        <f>-136266/H64/1000</f>
        <v>-0.1831532258064516</v>
      </c>
      <c r="H104" s="142">
        <f t="shared" si="3"/>
        <v>14.583153225806452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52">
        <f>28500/H64/1000</f>
        <v>3.8306451612903226E-2</v>
      </c>
      <c r="H105" s="142">
        <f t="shared" si="3"/>
        <v>14.361693548387096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52">
        <f>369617/H64/1000</f>
        <v>0.49679704301075273</v>
      </c>
      <c r="H106" s="142">
        <f t="shared" si="3"/>
        <v>13.903202956989247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8">
        <f>91959/H64/1000</f>
        <v>0.12360080645161289</v>
      </c>
      <c r="H107" s="145">
        <f t="shared" si="3"/>
        <v>17.776399193548386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"/>
  <sheetViews>
    <sheetView tabSelected="1" workbookViewId="0">
      <selection activeCell="F15" sqref="F15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80" t="s">
        <v>0</v>
      </c>
      <c r="B1" s="180"/>
      <c r="C1" s="180"/>
      <c r="D1" s="180"/>
      <c r="E1" s="180"/>
      <c r="F1" s="180"/>
      <c r="G1" s="180"/>
      <c r="H1" s="180"/>
    </row>
    <row r="2" spans="1:8" x14ac:dyDescent="0.3">
      <c r="A2" s="180" t="s">
        <v>1</v>
      </c>
      <c r="B2" s="180"/>
      <c r="C2" s="180"/>
      <c r="D2" s="180"/>
      <c r="E2" s="180"/>
      <c r="F2" s="180"/>
      <c r="G2" s="180"/>
      <c r="H2" s="180"/>
    </row>
    <row r="4" spans="1:8" x14ac:dyDescent="0.3">
      <c r="A4" s="180" t="s">
        <v>2</v>
      </c>
      <c r="B4" s="180"/>
      <c r="C4" s="180"/>
      <c r="D4" s="180"/>
      <c r="E4" s="180"/>
      <c r="F4" s="180"/>
      <c r="G4" s="180"/>
      <c r="H4" s="180"/>
    </row>
    <row r="6" spans="1:8" x14ac:dyDescent="0.3">
      <c r="A6" s="180" t="s">
        <v>3</v>
      </c>
      <c r="B6" s="180"/>
      <c r="C6" s="180"/>
      <c r="D6" s="180"/>
      <c r="E6" s="180"/>
      <c r="F6" s="180"/>
      <c r="G6" s="180"/>
      <c r="H6" s="180"/>
    </row>
    <row r="7" spans="1:8" x14ac:dyDescent="0.3">
      <c r="B7" s="147" t="s">
        <v>310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7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9450/744000</f>
        <v>1.2701612903225806E-2</v>
      </c>
      <c r="H11" s="19">
        <f>F11/1000-G11</f>
        <v>2.4872983870967742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1911888/744000</f>
        <v>2.5697419354838709</v>
      </c>
      <c r="H12" s="11">
        <f t="shared" ref="H12:H49" si="0">F12/1000-G12</f>
        <v>13.43025806451613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1521630/744000</f>
        <v>2.045201612903226</v>
      </c>
      <c r="H13" s="19">
        <f t="shared" si="0"/>
        <v>13.954798387096774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20089/744000</f>
        <v>2.7001344086021506E-2</v>
      </c>
      <c r="H14" s="25">
        <f t="shared" si="0"/>
        <v>9.9729986559139778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13396/744000</f>
        <v>1.800537634408602E-2</v>
      </c>
      <c r="H15" s="29">
        <f t="shared" si="0"/>
        <v>9.9819946236559147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2306700/744000</f>
        <v>3.1004032258064518</v>
      </c>
      <c r="H16" s="33">
        <f t="shared" si="0"/>
        <v>36.899596774193547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(1461964+2240)/744000</f>
        <v>1.968016129032258</v>
      </c>
      <c r="H17" s="19">
        <f t="shared" si="0"/>
        <v>4.3319838709677416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169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8">
        <f>82890/744000</f>
        <v>0.11141129032258064</v>
      </c>
      <c r="H19" s="15">
        <f>F19/1000-G19</f>
        <v>19.888588709677418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531440/744000</f>
        <v>0.71430107526881725</v>
      </c>
      <c r="H20" s="19">
        <f t="shared" si="0"/>
        <v>9.2856989247311823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66150/744000</f>
        <v>8.8911290322580647E-2</v>
      </c>
      <c r="H21" s="36">
        <f t="shared" si="0"/>
        <v>15.911088709677419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169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42000/744000</f>
        <v>5.6451612903225805E-2</v>
      </c>
      <c r="H23" s="29">
        <f t="shared" si="0"/>
        <v>2.443548387096774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314408/744000</f>
        <v>0.42259139784946237</v>
      </c>
      <c r="H24" s="36">
        <f t="shared" si="0"/>
        <v>5.8774086021505374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166704/744000</f>
        <v>0.22406451612903225</v>
      </c>
      <c r="H25" s="19">
        <f t="shared" si="0"/>
        <v>6.0759354838709676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v>0</v>
      </c>
      <c r="H26" s="36" t="s">
        <v>15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f>1015170/744000</f>
        <v>1.3644758064516129</v>
      </c>
      <c r="H27" s="19">
        <f t="shared" si="0"/>
        <v>14.635524193548386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20813/744000</f>
        <v>2.7974462365591399E-2</v>
      </c>
      <c r="H28" s="29">
        <f t="shared" si="0"/>
        <v>2.4720255376344085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34040/744000</f>
        <v>4.5752688172043011E-2</v>
      </c>
      <c r="H29" s="29">
        <f t="shared" si="0"/>
        <v>2.4542473118279569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62">
        <f>326970/744000</f>
        <v>0.43947580645161288</v>
      </c>
      <c r="H30" s="36">
        <f>F30/1000-G30</f>
        <v>39.560524193548389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6486774/744000</f>
        <v>8.7187822580645165</v>
      </c>
      <c r="H31" s="36">
        <f>F31/1000-G31</f>
        <v>11.281217741935484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750864/744000</f>
        <v>1.0092258064516129</v>
      </c>
      <c r="H33" s="19">
        <f t="shared" si="0"/>
        <v>8.9907741935483863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91014/744000</f>
        <v>0.12233064516129032</v>
      </c>
      <c r="H34" s="29">
        <f t="shared" si="0"/>
        <v>6.1776693548387094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64632/744000</f>
        <v>8.6870967741935479E-2</v>
      </c>
      <c r="H37" s="33">
        <f t="shared" si="0"/>
        <v>5.5131290322580639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12457/744000</f>
        <v>1.6743279569892473E-2</v>
      </c>
      <c r="H39" s="29">
        <f t="shared" si="0"/>
        <v>0.61325672043010748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1218/744000</f>
        <v>1.6370967741935485E-3</v>
      </c>
      <c r="H40" s="36">
        <f t="shared" si="0"/>
        <v>2.4983629032258063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62552/744000</f>
        <v>8.4075268817204299E-2</v>
      </c>
      <c r="H42" s="29">
        <f t="shared" si="0"/>
        <v>1.5159247311827957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29821/744000</f>
        <v>4.0081989247311829E-2</v>
      </c>
      <c r="H43" s="29">
        <f t="shared" si="0"/>
        <v>6.2599180107526884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485653/744000</f>
        <v>0.65275940860215054</v>
      </c>
      <c r="H44" s="31">
        <f>F44/1000-G44</f>
        <v>3.3472405913978496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v>0</v>
      </c>
      <c r="H46" s="36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355548/744000</f>
        <v>0.47788709677419355</v>
      </c>
      <c r="H47" s="20">
        <f>F47/1000-G47</f>
        <v>3.5221129032258065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72167/744000</f>
        <v>9.6998655913978493E-2</v>
      </c>
      <c r="H49" s="29">
        <f t="shared" si="0"/>
        <v>0.90300134408602151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1" t="s">
        <v>66</v>
      </c>
      <c r="B52" s="181"/>
      <c r="C52" s="181"/>
      <c r="D52" s="181"/>
      <c r="E52" s="181"/>
      <c r="F52" s="181"/>
      <c r="G52" s="181"/>
      <c r="H52" s="181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f>341153/744000</f>
        <v>0.45853897849462366</v>
      </c>
      <c r="H56" s="40">
        <f t="shared" ref="H56:H108" si="1">F56-G56</f>
        <v>65.194961021505364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1736887/744000</f>
        <v>2.3345255376344087</v>
      </c>
      <c r="H57" s="40">
        <f t="shared" si="1"/>
        <v>86.198224462365587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1590534/744000</f>
        <v>2.1378145161290321</v>
      </c>
      <c r="H58" s="40">
        <f t="shared" si="1"/>
        <v>86.394935483870967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5342669/744000</f>
        <v>7.1810067204301076</v>
      </c>
      <c r="H59" s="40">
        <f t="shared" si="1"/>
        <v>81.351743279569888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2787715/744000</f>
        <v>3.7469287634408603</v>
      </c>
      <c r="H60" s="40">
        <f t="shared" si="1"/>
        <v>84.78582123655913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687711/744000</f>
        <v>0.92434274193548382</v>
      </c>
      <c r="H61" s="40">
        <f t="shared" si="1"/>
        <v>87.608407258064503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2354044/744000</f>
        <v>3.1640376344086021</v>
      </c>
      <c r="H62" s="40">
        <f t="shared" si="1"/>
        <v>72.436962365591398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9143907/744000</f>
        <v>12.290197580645161</v>
      </c>
      <c r="H63" s="40">
        <f t="shared" si="1"/>
        <v>89.174302419354845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2521815/744000</f>
        <v>3.3895362903225807</v>
      </c>
      <c r="H64" s="72">
        <f t="shared" si="1"/>
        <v>98.074963709677419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6683800/744000</f>
        <v>8.9836021505376351</v>
      </c>
      <c r="H65" s="72">
        <f t="shared" si="1"/>
        <v>66.617397849462364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378802/744000</f>
        <v>0.50914247311827954</v>
      </c>
      <c r="H66" s="46">
        <f t="shared" si="1"/>
        <v>10.692607526881721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450632/744000</f>
        <v>0.60568817204301073</v>
      </c>
      <c r="H68" s="151">
        <f t="shared" si="1"/>
        <v>74.995311827956982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390572/744000</f>
        <v>0.52496236559139786</v>
      </c>
      <c r="H70" s="146">
        <f t="shared" si="1"/>
        <v>75.076037634408607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4926280/744000</f>
        <v>6.6213440860215051</v>
      </c>
      <c r="H72" s="54">
        <f t="shared" si="1"/>
        <v>94.843155913978492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1062429/744000</f>
        <v>1.4279959677419354</v>
      </c>
      <c r="H73" s="46">
        <f t="shared" si="1"/>
        <v>15.534654032258064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19389/744000</f>
        <v>2.6060483870967741E-2</v>
      </c>
      <c r="H75" s="39">
        <f t="shared" si="1"/>
        <v>21.097239516129036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983903/744000</f>
        <v>1.3224502688172044</v>
      </c>
      <c r="H76" s="40">
        <f t="shared" si="1"/>
        <v>15.640199731182795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f>1022137/744000</f>
        <v>1.3738400537634408</v>
      </c>
      <c r="H77" s="40">
        <f t="shared" si="1"/>
        <v>15.588809946236559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34/744000</f>
        <v>4.5698924731182797E-5</v>
      </c>
      <c r="H78" s="40">
        <f t="shared" si="1"/>
        <v>16.96260430107527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9">
        <f>49598/744000</f>
        <v>6.666397849462366E-2</v>
      </c>
      <c r="H79" s="146">
        <f t="shared" si="1"/>
        <v>21.05663602150538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20314/744000</f>
        <v>2.7303763440860215E-2</v>
      </c>
      <c r="H85" s="40">
        <f t="shared" si="1"/>
        <v>75.573696236559144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2179320/744000</f>
        <v>2.9291935483870968</v>
      </c>
      <c r="H86" s="40">
        <f t="shared" si="1"/>
        <v>98.535306451612911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1113368/744000</f>
        <v>1.4964623655913978</v>
      </c>
      <c r="H87" s="46">
        <f t="shared" si="1"/>
        <v>11.945637634408602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617056/744000</f>
        <v>0.82937634408602146</v>
      </c>
      <c r="H89" s="54">
        <f>F89-G89</f>
        <v>74.771623655913984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927915/744000</f>
        <v>1.2471975806451614</v>
      </c>
      <c r="H90" s="46">
        <f>F90-G90</f>
        <v>15.715452419354838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91885/744000</f>
        <v>0.12350134408602151</v>
      </c>
      <c r="H92" s="52">
        <f t="shared" si="1"/>
        <v>16.839148655913977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1733249/744000</f>
        <v>2.3296357526881719</v>
      </c>
      <c r="H94" s="52">
        <f t="shared" si="1"/>
        <v>14.633014247311827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3672/744000</f>
        <v>4.9354838709677416E-3</v>
      </c>
      <c r="H96" s="39">
        <f t="shared" si="1"/>
        <v>16.957714516129034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62552/744000</f>
        <v>8.4075268817204299E-2</v>
      </c>
      <c r="H97" s="46">
        <f t="shared" si="1"/>
        <v>21.039224731182799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12457/744000</f>
        <v>1.6743279569892473E-2</v>
      </c>
      <c r="H99" s="52">
        <f t="shared" si="1"/>
        <v>16.945906720430109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526356/744000</f>
        <v>0.7074677419354839</v>
      </c>
      <c r="H101" s="52">
        <f t="shared" si="1"/>
        <v>20.415832258064519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47390/744000</f>
        <v>6.3696236559139779E-2</v>
      </c>
      <c r="H103" s="39">
        <f t="shared" si="1"/>
        <v>16.898953763440861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68516/744000</f>
        <v>9.2091397849462367E-2</v>
      </c>
      <c r="H104" s="72">
        <f t="shared" si="1"/>
        <v>16.870558602150538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f>97818/744000</f>
        <v>0.13147580645161291</v>
      </c>
      <c r="H105" s="72">
        <f t="shared" si="1"/>
        <v>16.831174193548389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0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7">
        <f>104507/744000</f>
        <v>0.14046639784946235</v>
      </c>
      <c r="H107" s="39">
        <f t="shared" si="1"/>
        <v>16.822183602150538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88074/744000</f>
        <v>0.11837903225806451</v>
      </c>
      <c r="H108" s="46">
        <f t="shared" si="1"/>
        <v>24.205420967741937</v>
      </c>
    </row>
    <row r="109" spans="1:8" x14ac:dyDescent="0.3">
      <c r="A109" s="3"/>
      <c r="B109" s="2"/>
      <c r="C109" s="2"/>
      <c r="D109" s="2"/>
      <c r="E109" s="3"/>
      <c r="F109" s="2"/>
    </row>
    <row r="110" spans="1:8" x14ac:dyDescent="0.3">
      <c r="A110" s="3"/>
      <c r="B110" s="2"/>
      <c r="C110" s="2"/>
      <c r="D110" s="2"/>
      <c r="E110" s="3"/>
      <c r="F110" s="2"/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июль 2024г.</vt:lpstr>
      <vt:lpstr>БЭУ за июль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2024-08-13T10:45:33Z</dcterms:modified>
</cp:coreProperties>
</file>