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май 2023г." sheetId="3" r:id="rId1"/>
    <sheet name="БЭУ за май 2023г.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2" l="1"/>
  <c r="F108" i="12"/>
  <c r="H108" i="12" s="1"/>
  <c r="H107" i="12"/>
  <c r="G107" i="12"/>
  <c r="F107" i="12"/>
  <c r="F105" i="12"/>
  <c r="H104" i="12"/>
  <c r="G104" i="12"/>
  <c r="F104" i="12"/>
  <c r="G103" i="12"/>
  <c r="H103" i="12" s="1"/>
  <c r="F103" i="12"/>
  <c r="G101" i="12"/>
  <c r="F101" i="12"/>
  <c r="H101" i="12" s="1"/>
  <c r="G99" i="12"/>
  <c r="F99" i="12"/>
  <c r="H99" i="12" s="1"/>
  <c r="H97" i="12"/>
  <c r="G97" i="12"/>
  <c r="F97" i="12"/>
  <c r="G96" i="12"/>
  <c r="H96" i="12" s="1"/>
  <c r="F96" i="12"/>
  <c r="G94" i="12"/>
  <c r="F94" i="12"/>
  <c r="H94" i="12" s="1"/>
  <c r="G92" i="12"/>
  <c r="F92" i="12"/>
  <c r="H92" i="12" s="1"/>
  <c r="F90" i="12"/>
  <c r="G89" i="12"/>
  <c r="F89" i="12"/>
  <c r="H89" i="12" s="1"/>
  <c r="H87" i="12"/>
  <c r="G87" i="12"/>
  <c r="F87" i="12"/>
  <c r="G86" i="12"/>
  <c r="H86" i="12" s="1"/>
  <c r="F86" i="12"/>
  <c r="G85" i="12"/>
  <c r="F85" i="12"/>
  <c r="H85" i="12" s="1"/>
  <c r="F83" i="12"/>
  <c r="F81" i="12"/>
  <c r="G79" i="12"/>
  <c r="H79" i="12" s="1"/>
  <c r="F79" i="12"/>
  <c r="G78" i="12"/>
  <c r="F78" i="12"/>
  <c r="H78" i="12" s="1"/>
  <c r="F77" i="12"/>
  <c r="G76" i="12"/>
  <c r="F76" i="12"/>
  <c r="H76" i="12" s="1"/>
  <c r="G75" i="12"/>
  <c r="F75" i="12"/>
  <c r="H75" i="12" s="1"/>
  <c r="H73" i="12"/>
  <c r="G73" i="12"/>
  <c r="F73" i="12"/>
  <c r="G72" i="12"/>
  <c r="H72" i="12" s="1"/>
  <c r="F72" i="12"/>
  <c r="G70" i="12"/>
  <c r="F70" i="12"/>
  <c r="H70" i="12" s="1"/>
  <c r="F69" i="12"/>
  <c r="G68" i="12"/>
  <c r="F68" i="12"/>
  <c r="H68" i="12" s="1"/>
  <c r="G66" i="12"/>
  <c r="F66" i="12"/>
  <c r="H66" i="12" s="1"/>
  <c r="H65" i="12"/>
  <c r="G65" i="12"/>
  <c r="F65" i="12"/>
  <c r="G64" i="12"/>
  <c r="H64" i="12" s="1"/>
  <c r="F64" i="12"/>
  <c r="G63" i="12"/>
  <c r="F63" i="12"/>
  <c r="H63" i="12" s="1"/>
  <c r="G62" i="12"/>
  <c r="F62" i="12"/>
  <c r="H62" i="12" s="1"/>
  <c r="H61" i="12"/>
  <c r="G61" i="12"/>
  <c r="F61" i="12"/>
  <c r="G60" i="12"/>
  <c r="H60" i="12" s="1"/>
  <c r="F60" i="12"/>
  <c r="G59" i="12"/>
  <c r="F59" i="12"/>
  <c r="H59" i="12" s="1"/>
  <c r="G58" i="12"/>
  <c r="F58" i="12"/>
  <c r="H58" i="12" s="1"/>
  <c r="H57" i="12"/>
  <c r="G57" i="12"/>
  <c r="F57" i="12"/>
  <c r="G56" i="12"/>
  <c r="H56" i="12" s="1"/>
  <c r="F56" i="12"/>
  <c r="G49" i="12"/>
  <c r="H49" i="12" s="1"/>
  <c r="H47" i="12"/>
  <c r="G47" i="12"/>
  <c r="H46" i="12"/>
  <c r="G44" i="12"/>
  <c r="H44" i="12" s="1"/>
  <c r="H43" i="12"/>
  <c r="G43" i="12"/>
  <c r="G42" i="12"/>
  <c r="H42" i="12" s="1"/>
  <c r="H41" i="12"/>
  <c r="G41" i="12"/>
  <c r="G40" i="12"/>
  <c r="H40" i="12" s="1"/>
  <c r="H39" i="12"/>
  <c r="G39" i="12"/>
  <c r="G37" i="12"/>
  <c r="H37" i="12" s="1"/>
  <c r="H34" i="12"/>
  <c r="G34" i="12"/>
  <c r="G33" i="12"/>
  <c r="H33" i="12" s="1"/>
  <c r="H31" i="12"/>
  <c r="G31" i="12"/>
  <c r="G30" i="12"/>
  <c r="H30" i="12" s="1"/>
  <c r="H29" i="12"/>
  <c r="G29" i="12"/>
  <c r="G28" i="12"/>
  <c r="H28" i="12" s="1"/>
  <c r="H26" i="12"/>
  <c r="G26" i="12"/>
  <c r="G25" i="12"/>
  <c r="H25" i="12" s="1"/>
  <c r="H23" i="12"/>
  <c r="G23" i="12"/>
  <c r="G21" i="12"/>
  <c r="H21" i="12" s="1"/>
  <c r="H20" i="12"/>
  <c r="G20" i="12"/>
  <c r="G19" i="12"/>
  <c r="H19" i="12" s="1"/>
  <c r="H16" i="12"/>
  <c r="G16" i="12"/>
  <c r="G15" i="12"/>
  <c r="H15" i="12" s="1"/>
  <c r="H14" i="12"/>
  <c r="G14" i="12"/>
  <c r="G13" i="12"/>
  <c r="H13" i="12" s="1"/>
  <c r="H12" i="12"/>
  <c r="G12" i="12"/>
  <c r="G11" i="12"/>
  <c r="H11" i="12" s="1"/>
  <c r="G69" i="3" l="1"/>
  <c r="G68" i="3"/>
  <c r="G19" i="3"/>
  <c r="G18" i="3"/>
  <c r="G87" i="3"/>
  <c r="G44" i="3"/>
  <c r="G90" i="3"/>
  <c r="G28" i="3"/>
  <c r="G30" i="3"/>
  <c r="G22" i="3"/>
  <c r="G107" i="3"/>
  <c r="G106" i="3"/>
  <c r="G105" i="3"/>
  <c r="G26" i="3"/>
  <c r="G94" i="3"/>
  <c r="G92" i="3"/>
  <c r="G96" i="3"/>
  <c r="G93" i="3"/>
  <c r="G15" i="3"/>
  <c r="G17" i="3"/>
  <c r="G16" i="3"/>
  <c r="G100" i="3"/>
  <c r="G99" i="3"/>
  <c r="G98" i="3"/>
  <c r="G24" i="3"/>
  <c r="G21" i="3"/>
  <c r="G20" i="3"/>
  <c r="G85" i="3" l="1"/>
  <c r="G84" i="3"/>
  <c r="G51" i="3"/>
  <c r="G50" i="3"/>
  <c r="G53" i="3"/>
  <c r="G52" i="3"/>
  <c r="G49" i="3"/>
  <c r="G47" i="3"/>
  <c r="G46" i="3"/>
  <c r="G43" i="3"/>
  <c r="G39" i="3"/>
  <c r="G38" i="3"/>
  <c r="G82" i="3" l="1"/>
  <c r="G81" i="3"/>
  <c r="G80" i="3"/>
  <c r="G37" i="3"/>
  <c r="G36" i="3"/>
  <c r="G78" i="3"/>
  <c r="G77" i="3"/>
  <c r="G76" i="3"/>
  <c r="G75" i="3"/>
  <c r="G74" i="3"/>
  <c r="G73" i="3"/>
  <c r="G72" i="3"/>
  <c r="G71" i="3"/>
  <c r="G35" i="3"/>
  <c r="G34" i="3"/>
  <c r="G66" i="3"/>
  <c r="G65" i="3"/>
  <c r="G13" i="3"/>
  <c r="G104" i="3" l="1"/>
  <c r="G12" i="3"/>
  <c r="N47" i="3" l="1"/>
  <c r="N46" i="3"/>
  <c r="G102" i="3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<sst xmlns="http://schemas.openxmlformats.org/spreadsheetml/2006/main" count="494" uniqueCount="312">
  <si>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</si>
  <si>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</si>
  <si>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</si>
  <si>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</si>
  <si>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</si>
  <si>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</si>
  <si>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</si>
  <si>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</si>
  <si>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</si>
  <si>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</si>
  <si>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</si>
  <si>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</si>
  <si>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</si>
  <si>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</si>
  <si>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</si>
  <si>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</si>
  <si>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</si>
  <si>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</si>
  <si>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</si>
  <si>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</si>
  <si>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</si>
  <si>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</si>
  <si>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</si>
  <si>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</si>
  <si>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</si>
  <si>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</si>
  <si>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</si>
  <si>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</si>
  <si>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</si>
  <si>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</si>
  <si>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</si>
  <si>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</si>
  <si>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</si>
  <si>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</si>
  <si>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</si>
  <si>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</si>
  <si>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</si>
  <si>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</si>
  <si>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</si>
  <si>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</si>
  <si>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</si>
  <si>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</si>
  <si>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</si>
  <si>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</si>
  <si>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</si>
  <si>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</si>
  <si>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</si>
  <si>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</si>
  <si>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</si>
  <si>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</si>
  <si>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</si>
  <si>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</si>
  <si>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</si>
  <si>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</si>
  <si>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</si>
  <si>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</si>
  <si>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</si>
  <si>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</si>
  <si>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</si>
  <si>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</si>
  <si>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</si>
  <si>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</si>
  <si>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</si>
  <si>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</si>
  <si>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</si>
  <si>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</si>
  <si>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</si>
  <si>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</si>
  <si>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</si>
  <si>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</si>
  <si>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</si>
  <si>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</si>
  <si>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</si>
  <si>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</si>
  <si>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</si>
  <si>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</si>
  <si>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</si>
  <si>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</si>
  <si>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</si>
  <si>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</si>
  <si>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</si>
  <si>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</si>
  <si>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</si>
  <si>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</si>
  <si>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</si>
  <si>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</si>
  <si>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</si>
  <si>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</si>
  <si>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</si>
  <si>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</si>
  <si>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</si>
  <si>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</si>
  <si>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</si>
  <si>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</si>
  <si>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</si>
  <si>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</si>
  <si>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</si>
  <si>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</si>
  <si>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</si>
  <si>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</si>
  <si>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</si>
  <si>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</si>
  <si>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</si>
  <si>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</si>
  <si>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</si>
  <si>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</si>
  <si>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</si>
  <si>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</si>
  <si>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</si>
  <si>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</si>
  <si>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</si>
  <si>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</si>
  <si>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</si>
  <si>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</si>
  <si>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</si>
  <si>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</si>
  <si>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</si>
  <si>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</si>
  <si>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</si>
  <si>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</si>
  <si>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</si>
  <si>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</si>
  <si>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</si>
  <si>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</si>
  <si>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</si>
  <si>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</si>
  <si>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</si>
  <si>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</si>
  <si>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</si>
  <si>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</si>
  <si>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</si>
  <si>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</si>
  <si>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</si>
  <si>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</si>
  <si>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</si>
  <si>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</si>
  <si>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</si>
  <si>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</si>
  <si>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</si>
  <si>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</si>
  <si>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</si>
  <si>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</si>
  <si>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</si>
  <si>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</si>
  <si>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</si>
  <si>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</si>
  <si>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</si>
  <si>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</si>
  <si>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</si>
  <si>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</si>
  <si>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</si>
  <si>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</si>
  <si>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</si>
  <si>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</si>
  <si>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</si>
  <si>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</si>
  <si>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</si>
  <si>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</si>
  <si>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</si>
  <si>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</si>
  <si>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</si>
  <si>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</si>
  <si>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</si>
  <si>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</si>
  <si>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</si>
  <si>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</si>
  <si>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</si>
  <si>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</si>
  <si>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</si>
  <si>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</si>
  <si>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</si>
  <si>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</si>
  <si>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</si>
  <si>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</si>
  <si>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</si>
  <si>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</si>
  <si>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</si>
  <si>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</si>
  <si>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</si>
  <si>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</si>
  <si>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</si>
  <si>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</si>
  <si>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</si>
  <si>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</si>
  <si>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</si>
  <si>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</si>
  <si>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</si>
  <si>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</si>
  <si>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</si>
  <si>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</si>
  <si>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</si>
  <si>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</si>
  <si>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</si>
  <si>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</si>
  <si>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</si>
  <si>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</si>
  <si>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</si>
  <si>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</si>
  <si>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</si>
  <si>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</si>
  <si>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</si>
  <si>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</si>
  <si>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</si>
  <si>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</si>
  <si>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</si>
  <si>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</si>
  <si>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</si>
  <si>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</si>
  <si>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</si>
  <si>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</si>
  <si>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</si>
  <si>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</si>
  <si>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</si>
  <si>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</si>
  <si>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</si>
  <si>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</si>
  <si>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</si>
  <si>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</si>
  <si>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</si>
  <si>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</si>
  <si>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</si>
  <si>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</si>
  <si>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</si>
  <si>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</si>
  <si>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</si>
  <si>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</si>
  <si>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</si>
  <si>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</si>
  <si>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</si>
  <si>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</si>
  <si>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</si>
  <si>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</si>
  <si>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</si>
  <si>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</si>
  <si>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</si>
  <si>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</si>
  <si>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</si>
  <si>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</si>
  <si>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</si>
  <si>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</si>
  <si>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</si>
  <si>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</si>
  <si>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</si>
  <si>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</si>
  <si>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</si>
  <si>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</si>
  <si>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</si>
  <si>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</si>
  <si>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</si>
  <si>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</si>
  <si>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</si>
  <si>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</si>
  <si>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</si>
  <si>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</si>
  <si>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</si>
  <si>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</si>
  <si>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</si>
  <si>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</si>
  <si>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</si>
  <si>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</si>
  <si>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</si>
  <si>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</si>
  <si>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</si>
  <si>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</si>
  <si>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</si>
  <si>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</si>
  <si>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</si>
  <si>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</si>
  <si>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</si>
  <si>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</si>
  <si>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</si>
  <si>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</si>
  <si>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</si>
  <si>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</si>
  <si>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</si>
  <si>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</si>
  <si>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</si>
  <si>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</si>
  <si>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</si>
  <si>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</si>
  <si>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</si>
  <si>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</si>
  <si>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</si>
  <si>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</si>
  <si>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</si>
  <si>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</si>
  <si>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</si>
  <si>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</si>
  <si>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</si>
  <si>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</si>
  <si>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</si>
  <si>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</si>
  <si>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</si>
  <si>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</si>
  <si>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</si>
  <si>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</si>
  <si>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</si>
  <si>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</si>
  <si>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</si>
  <si>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</si>
  <si>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</si>
  <si>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</si>
  <si>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</si>
  <si>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</si>
  <si>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</si>
  <si>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</si>
  <si>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</si>
  <si>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</si>
  <si>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</si>
  <si>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за май 2023г.</t>
  </si>
  <si>
    <t>Май 2023 года</t>
  </si>
  <si>
    <t>Поселок Шашубай Актогайск.район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</si>
</sst>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9" fontId="4" fillId="3" borderId="8" xfId="3" applyNumberFormat="1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zoomScaleNormal="100" zoomScaleSheetLayoutView="135" workbookViewId="0">
      <selection activeCell="O4" sqref="O4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7"/>
      <c r="H1" s="71" t="s">
        <v>129</v>
      </c>
      <c r="I1" s="85"/>
      <c r="R1" s="87" t="s">
        <v>130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131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7"/>
      <c r="H3" s="71" t="s">
        <v>2</v>
      </c>
      <c r="I3" s="92"/>
      <c r="R3" s="87" t="s">
        <v>132</v>
      </c>
      <c r="S3" s="88"/>
      <c r="T3" s="88"/>
    </row>
    <row r="4" spans="1:20" ht="18" x14ac:dyDescent="0.35">
      <c r="A4" s="93"/>
      <c r="B4" s="93"/>
      <c r="C4" s="94"/>
      <c r="D4" s="94" t="s">
        <v>133</v>
      </c>
      <c r="E4" s="95"/>
      <c r="F4" s="93"/>
      <c r="G4" s="73"/>
      <c r="H4" s="73" t="s">
        <v>134</v>
      </c>
      <c r="I4" s="92"/>
      <c r="R4" s="87" t="s">
        <v>135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1" t="s">
        <v>309</v>
      </c>
      <c r="H5" s="171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136</v>
      </c>
      <c r="E6" s="100" t="s">
        <v>137</v>
      </c>
      <c r="F6" s="99" t="s">
        <v>138</v>
      </c>
      <c r="G6" s="172" t="s">
        <v>139</v>
      </c>
      <c r="H6" s="100" t="s">
        <v>140</v>
      </c>
      <c r="R6" s="87" t="s">
        <v>141</v>
      </c>
      <c r="S6" s="88"/>
      <c r="T6" s="88"/>
    </row>
    <row r="7" spans="1:20" x14ac:dyDescent="0.3">
      <c r="A7" s="101" t="s">
        <v>142</v>
      </c>
      <c r="B7" s="102" t="s">
        <v>143</v>
      </c>
      <c r="C7" s="102" t="s">
        <v>6</v>
      </c>
      <c r="D7" s="102" t="s">
        <v>144</v>
      </c>
      <c r="E7" s="103" t="s">
        <v>145</v>
      </c>
      <c r="F7" s="102" t="s">
        <v>146</v>
      </c>
      <c r="G7" s="173"/>
      <c r="H7" s="103" t="s">
        <v>147</v>
      </c>
    </row>
    <row r="8" spans="1:20" ht="16.2" thickBot="1" x14ac:dyDescent="0.35">
      <c r="A8" s="104"/>
      <c r="B8" s="105"/>
      <c r="C8" s="105"/>
      <c r="D8" s="105"/>
      <c r="E8" s="74" t="s">
        <v>148</v>
      </c>
      <c r="F8" s="106" t="s">
        <v>149</v>
      </c>
      <c r="G8" s="74" t="s">
        <v>150</v>
      </c>
      <c r="H8" s="74" t="s">
        <v>150</v>
      </c>
    </row>
    <row r="9" spans="1:20" x14ac:dyDescent="0.3">
      <c r="A9" s="107"/>
      <c r="B9" s="108" t="s">
        <v>307</v>
      </c>
      <c r="C9" s="108"/>
      <c r="D9" s="108"/>
      <c r="E9" s="109"/>
      <c r="F9" s="108"/>
      <c r="G9" s="75"/>
      <c r="H9" s="110">
        <v>744</v>
      </c>
    </row>
    <row r="10" spans="1:20" x14ac:dyDescent="0.3">
      <c r="A10" s="111" t="s">
        <v>151</v>
      </c>
      <c r="B10" s="112" t="s">
        <v>152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153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154</v>
      </c>
      <c r="B12" s="114" t="s">
        <v>155</v>
      </c>
      <c r="C12" s="117" t="s">
        <v>156</v>
      </c>
      <c r="D12" s="117"/>
      <c r="E12" s="76" t="s">
        <v>157</v>
      </c>
      <c r="F12" s="76">
        <v>63000</v>
      </c>
      <c r="G12" s="77">
        <f>(9594288+99060)/H9/1000</f>
        <v>13.028693548387096</v>
      </c>
      <c r="H12" s="118">
        <f>F12/1000-G12</f>
        <v>49.971306451612904</v>
      </c>
      <c r="I12" s="119"/>
      <c r="N12" s="120"/>
    </row>
    <row r="13" spans="1:20" x14ac:dyDescent="0.3">
      <c r="A13" s="78"/>
      <c r="B13" s="114"/>
      <c r="C13" s="117" t="s">
        <v>158</v>
      </c>
      <c r="D13" s="117"/>
      <c r="E13" s="76" t="s">
        <v>159</v>
      </c>
      <c r="F13" s="76">
        <v>63000</v>
      </c>
      <c r="G13" s="77">
        <f>(9955176+239190)/H9/1000</f>
        <v>13.702104838709678</v>
      </c>
      <c r="H13" s="118">
        <f>F13/1000-G13</f>
        <v>49.29789516129032</v>
      </c>
      <c r="I13" s="119"/>
      <c r="N13" s="120"/>
    </row>
    <row r="14" spans="1:20" x14ac:dyDescent="0.3">
      <c r="A14" s="78"/>
      <c r="B14" s="116" t="s">
        <v>160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161</v>
      </c>
      <c r="B15" s="114" t="s">
        <v>162</v>
      </c>
      <c r="C15" s="114"/>
      <c r="D15" s="114"/>
      <c r="E15" s="76" t="s">
        <v>163</v>
      </c>
      <c r="F15" s="76">
        <v>6300</v>
      </c>
      <c r="G15" s="77">
        <f>197076/H9/1000</f>
        <v>0.26488709677419353</v>
      </c>
      <c r="H15" s="118">
        <f t="shared" ref="H15:H22" si="0">F15/1000-G15</f>
        <v>6.035112903225806</v>
      </c>
      <c r="I15" s="119"/>
      <c r="N15" s="120"/>
    </row>
    <row r="16" spans="1:20" x14ac:dyDescent="0.3">
      <c r="A16" s="78" t="s">
        <v>164</v>
      </c>
      <c r="B16" s="114" t="s">
        <v>165</v>
      </c>
      <c r="C16" s="114" t="s">
        <v>166</v>
      </c>
      <c r="D16" s="114"/>
      <c r="E16" s="121">
        <v>11.1</v>
      </c>
      <c r="F16" s="76">
        <v>16000</v>
      </c>
      <c r="G16" s="77">
        <f>287416/H9/1000</f>
        <v>0.38631182795698926</v>
      </c>
      <c r="H16" s="118">
        <f t="shared" si="0"/>
        <v>15.613688172043011</v>
      </c>
      <c r="I16" s="119"/>
      <c r="N16" s="120"/>
    </row>
    <row r="17" spans="1:14" x14ac:dyDescent="0.3">
      <c r="A17" s="78"/>
      <c r="B17" s="114"/>
      <c r="C17" s="114" t="s">
        <v>167</v>
      </c>
      <c r="D17" s="114"/>
      <c r="E17" s="121">
        <v>11.1</v>
      </c>
      <c r="F17" s="76">
        <v>16000</v>
      </c>
      <c r="G17" s="77">
        <f>124484/H9/1000</f>
        <v>0.16731720430107527</v>
      </c>
      <c r="H17" s="118">
        <f t="shared" si="0"/>
        <v>15.832682795698926</v>
      </c>
      <c r="I17" s="119"/>
      <c r="N17" s="120"/>
    </row>
    <row r="18" spans="1:14" x14ac:dyDescent="0.3">
      <c r="A18" s="78" t="s">
        <v>168</v>
      </c>
      <c r="B18" s="114" t="s">
        <v>169</v>
      </c>
      <c r="C18" s="114" t="s">
        <v>166</v>
      </c>
      <c r="D18" s="114"/>
      <c r="E18" s="76" t="s">
        <v>170</v>
      </c>
      <c r="F18" s="76">
        <v>16000</v>
      </c>
      <c r="G18" s="77">
        <f>303588/H9/1000</f>
        <v>0.40804838709677421</v>
      </c>
      <c r="H18" s="118">
        <f t="shared" si="0"/>
        <v>15.591951612903225</v>
      </c>
      <c r="I18" s="119"/>
      <c r="N18" s="120"/>
    </row>
    <row r="19" spans="1:14" x14ac:dyDescent="0.3">
      <c r="A19" s="78"/>
      <c r="B19" s="114"/>
      <c r="C19" s="114" t="s">
        <v>167</v>
      </c>
      <c r="D19" s="114"/>
      <c r="E19" s="76" t="s">
        <v>171</v>
      </c>
      <c r="F19" s="76">
        <v>16000</v>
      </c>
      <c r="G19" s="77">
        <f>326376/H9/1000</f>
        <v>0.43867741935483873</v>
      </c>
      <c r="H19" s="118">
        <f t="shared" si="0"/>
        <v>15.561322580645161</v>
      </c>
      <c r="I19" s="119"/>
      <c r="N19" s="120"/>
    </row>
    <row r="20" spans="1:14" x14ac:dyDescent="0.3">
      <c r="A20" s="78" t="s">
        <v>172</v>
      </c>
      <c r="B20" s="114" t="s">
        <v>173</v>
      </c>
      <c r="C20" s="114" t="s">
        <v>166</v>
      </c>
      <c r="D20" s="114"/>
      <c r="E20" s="76" t="s">
        <v>174</v>
      </c>
      <c r="F20" s="76">
        <v>25000</v>
      </c>
      <c r="G20" s="77">
        <f>1220560/H9/1000</f>
        <v>1.640537634408602</v>
      </c>
      <c r="H20" s="118">
        <f t="shared" si="0"/>
        <v>23.359462365591398</v>
      </c>
      <c r="I20" s="119"/>
      <c r="N20" s="120"/>
    </row>
    <row r="21" spans="1:14" x14ac:dyDescent="0.3">
      <c r="A21" s="78"/>
      <c r="B21" s="114"/>
      <c r="C21" s="114" t="s">
        <v>167</v>
      </c>
      <c r="D21" s="114"/>
      <c r="E21" s="76" t="s">
        <v>175</v>
      </c>
      <c r="F21" s="76">
        <v>25000</v>
      </c>
      <c r="G21" s="77">
        <f>561519/H9/1000</f>
        <v>0.75472983870967747</v>
      </c>
      <c r="H21" s="118">
        <f t="shared" si="0"/>
        <v>24.245270161290321</v>
      </c>
      <c r="I21" s="119"/>
      <c r="N21" s="120"/>
    </row>
    <row r="22" spans="1:14" x14ac:dyDescent="0.3">
      <c r="A22" s="78" t="s">
        <v>176</v>
      </c>
      <c r="B22" s="114" t="s">
        <v>177</v>
      </c>
      <c r="C22" s="114" t="s">
        <v>166</v>
      </c>
      <c r="D22" s="114"/>
      <c r="E22" s="76" t="s">
        <v>178</v>
      </c>
      <c r="F22" s="76">
        <v>6300</v>
      </c>
      <c r="G22" s="77">
        <f>38698/H9/1000</f>
        <v>5.2013440860215053E-2</v>
      </c>
      <c r="H22" s="118">
        <f t="shared" si="0"/>
        <v>6.2479865591397852</v>
      </c>
      <c r="I22" s="119"/>
      <c r="N22" s="120"/>
    </row>
    <row r="23" spans="1:14" x14ac:dyDescent="0.3">
      <c r="A23" s="78"/>
      <c r="B23" s="114"/>
      <c r="C23" s="114" t="s">
        <v>167</v>
      </c>
      <c r="D23" s="114"/>
      <c r="E23" s="76" t="s">
        <v>179</v>
      </c>
      <c r="F23" s="76">
        <v>6300</v>
      </c>
      <c r="G23" s="77" t="s">
        <v>180</v>
      </c>
      <c r="H23" s="118"/>
      <c r="I23" s="119"/>
      <c r="N23" s="120"/>
    </row>
    <row r="24" spans="1:14" x14ac:dyDescent="0.3">
      <c r="A24" s="78" t="s">
        <v>181</v>
      </c>
      <c r="B24" s="114" t="s">
        <v>182</v>
      </c>
      <c r="C24" s="114"/>
      <c r="D24" s="114"/>
      <c r="E24" s="76" t="s">
        <v>183</v>
      </c>
      <c r="F24" s="76">
        <v>16000</v>
      </c>
      <c r="G24" s="77">
        <f>(1167584+0)/H9/1000</f>
        <v>1.5693333333333332</v>
      </c>
      <c r="H24" s="118">
        <f>F24/1000-G24</f>
        <v>14.430666666666667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179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184</v>
      </c>
      <c r="B26" s="114" t="s">
        <v>185</v>
      </c>
      <c r="C26" s="114" t="s">
        <v>186</v>
      </c>
      <c r="D26" s="114"/>
      <c r="E26" s="76" t="s">
        <v>187</v>
      </c>
      <c r="F26" s="76">
        <v>6300</v>
      </c>
      <c r="G26" s="77">
        <f>(592768)/H9/1000</f>
        <v>0.79673118279569899</v>
      </c>
      <c r="H26" s="118">
        <f>F26/1000-G26</f>
        <v>5.5032688172043009</v>
      </c>
      <c r="I26" s="119"/>
      <c r="N26" s="120"/>
    </row>
    <row r="27" spans="1:14" x14ac:dyDescent="0.3">
      <c r="A27" s="78"/>
      <c r="B27" s="116" t="s">
        <v>188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189</v>
      </c>
      <c r="B28" s="114" t="s">
        <v>190</v>
      </c>
      <c r="C28" s="114" t="s">
        <v>166</v>
      </c>
      <c r="D28" s="114"/>
      <c r="E28" s="121" t="s">
        <v>191</v>
      </c>
      <c r="F28" s="76">
        <v>1000</v>
      </c>
      <c r="G28" s="77">
        <f>83850/H9/1000</f>
        <v>0.11270161290322581</v>
      </c>
      <c r="H28" s="118">
        <f>F28/1000-G28</f>
        <v>0.88729838709677422</v>
      </c>
      <c r="I28" s="119"/>
      <c r="N28" s="120"/>
    </row>
    <row r="29" spans="1:14" x14ac:dyDescent="0.3">
      <c r="A29" s="78"/>
      <c r="B29" s="114"/>
      <c r="C29" s="114" t="s">
        <v>167</v>
      </c>
      <c r="D29" s="114"/>
      <c r="E29" s="76" t="s">
        <v>179</v>
      </c>
      <c r="F29" s="76">
        <v>6300</v>
      </c>
      <c r="G29" s="77" t="s">
        <v>180</v>
      </c>
      <c r="H29" s="118"/>
      <c r="I29" s="119"/>
      <c r="N29" s="120"/>
    </row>
    <row r="30" spans="1:14" x14ac:dyDescent="0.3">
      <c r="A30" s="78" t="s">
        <v>192</v>
      </c>
      <c r="B30" s="114" t="s">
        <v>193</v>
      </c>
      <c r="C30" s="114" t="s">
        <v>194</v>
      </c>
      <c r="D30" s="114"/>
      <c r="E30" s="121">
        <v>11.1</v>
      </c>
      <c r="F30" s="76">
        <v>1000</v>
      </c>
      <c r="G30" s="77">
        <f>23503/H9/1000</f>
        <v>3.1590053763440859E-2</v>
      </c>
      <c r="H30" s="118">
        <f>F30/1000-G30</f>
        <v>0.96840994623655918</v>
      </c>
      <c r="I30" s="119"/>
      <c r="N30" s="120"/>
    </row>
    <row r="31" spans="1:14" x14ac:dyDescent="0.3">
      <c r="A31" s="78" t="s">
        <v>195</v>
      </c>
      <c r="B31" s="114" t="s">
        <v>196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197</v>
      </c>
      <c r="B32" s="112" t="s">
        <v>198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153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199</v>
      </c>
      <c r="B34" s="114" t="s">
        <v>200</v>
      </c>
      <c r="C34" s="114" t="s">
        <v>166</v>
      </c>
      <c r="D34" s="114"/>
      <c r="E34" s="76" t="s">
        <v>201</v>
      </c>
      <c r="F34" s="76">
        <v>25000</v>
      </c>
      <c r="G34" s="77">
        <f>(6996528)/H9/1000</f>
        <v>9.403935483870967</v>
      </c>
      <c r="H34" s="118">
        <f>F34/1000-G34</f>
        <v>15.596064516129033</v>
      </c>
      <c r="I34" s="119"/>
      <c r="N34" s="120"/>
    </row>
    <row r="35" spans="1:14" x14ac:dyDescent="0.3">
      <c r="A35" s="78"/>
      <c r="B35" s="76"/>
      <c r="C35" s="114" t="s">
        <v>167</v>
      </c>
      <c r="D35" s="114"/>
      <c r="E35" s="76" t="s">
        <v>202</v>
      </c>
      <c r="F35" s="76">
        <v>25000</v>
      </c>
      <c r="G35" s="77">
        <f>(15175644)/H9/1000</f>
        <v>20.397370967741935</v>
      </c>
      <c r="H35" s="118">
        <f>F35/1000-G35</f>
        <v>4.602629032258065</v>
      </c>
      <c r="I35" s="119"/>
      <c r="N35" s="120"/>
    </row>
    <row r="36" spans="1:14" x14ac:dyDescent="0.3">
      <c r="A36" s="78" t="s">
        <v>203</v>
      </c>
      <c r="B36" s="114" t="s">
        <v>204</v>
      </c>
      <c r="C36" s="114" t="s">
        <v>166</v>
      </c>
      <c r="D36" s="114"/>
      <c r="E36" s="76" t="s">
        <v>205</v>
      </c>
      <c r="F36" s="76">
        <v>20000</v>
      </c>
      <c r="G36" s="77">
        <f>3583272/H9/1000</f>
        <v>4.8162258064516124</v>
      </c>
      <c r="H36" s="118">
        <f t="shared" ref="H36:H41" si="1">F36/1000-G36</f>
        <v>15.183774193548388</v>
      </c>
      <c r="I36" s="119"/>
      <c r="N36" s="120"/>
    </row>
    <row r="37" spans="1:14" x14ac:dyDescent="0.3">
      <c r="A37" s="78"/>
      <c r="B37" s="76"/>
      <c r="C37" s="114" t="s">
        <v>167</v>
      </c>
      <c r="D37" s="114"/>
      <c r="E37" s="76" t="s">
        <v>206</v>
      </c>
      <c r="F37" s="76">
        <v>25000</v>
      </c>
      <c r="G37" s="77">
        <f>2270928/H9/1000</f>
        <v>3.0523225806451615</v>
      </c>
      <c r="H37" s="118">
        <f t="shared" si="1"/>
        <v>21.947677419354839</v>
      </c>
      <c r="I37" s="119"/>
      <c r="N37" s="120"/>
    </row>
    <row r="38" spans="1:14" x14ac:dyDescent="0.3">
      <c r="A38" s="78" t="s">
        <v>207</v>
      </c>
      <c r="B38" s="114" t="s">
        <v>208</v>
      </c>
      <c r="C38" s="114" t="s">
        <v>166</v>
      </c>
      <c r="D38" s="114"/>
      <c r="E38" s="76" t="s">
        <v>209</v>
      </c>
      <c r="F38" s="76">
        <v>20000</v>
      </c>
      <c r="G38" s="77">
        <f>3526336/H9/1000</f>
        <v>4.7396989247311829</v>
      </c>
      <c r="H38" s="118">
        <f t="shared" si="1"/>
        <v>15.260301075268817</v>
      </c>
      <c r="I38" s="119"/>
      <c r="N38" s="120"/>
    </row>
    <row r="39" spans="1:14" x14ac:dyDescent="0.3">
      <c r="A39" s="78"/>
      <c r="B39" s="76"/>
      <c r="C39" s="114" t="s">
        <v>167</v>
      </c>
      <c r="D39" s="114"/>
      <c r="E39" s="76" t="s">
        <v>210</v>
      </c>
      <c r="F39" s="76">
        <v>20000</v>
      </c>
      <c r="G39" s="77">
        <f>3007488/H9/1000</f>
        <v>4.0423225806451617</v>
      </c>
      <c r="H39" s="118">
        <f t="shared" si="1"/>
        <v>15.957677419354837</v>
      </c>
      <c r="I39" s="119"/>
      <c r="N39" s="120"/>
    </row>
    <row r="40" spans="1:14" x14ac:dyDescent="0.3">
      <c r="A40" s="111"/>
      <c r="B40" s="114" t="s">
        <v>211</v>
      </c>
      <c r="C40" s="114" t="s">
        <v>212</v>
      </c>
      <c r="D40" s="114"/>
      <c r="E40" s="76" t="s">
        <v>213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211</v>
      </c>
      <c r="C41" s="114" t="s">
        <v>214</v>
      </c>
      <c r="D41" s="114"/>
      <c r="E41" s="76" t="s">
        <v>215</v>
      </c>
      <c r="F41" s="76">
        <v>10000</v>
      </c>
      <c r="G41" s="77">
        <f>21/H9/1000</f>
        <v>2.8225806451612902E-5</v>
      </c>
      <c r="H41" s="118">
        <f t="shared" si="1"/>
        <v>9.9999717741935488</v>
      </c>
      <c r="I41" s="119"/>
      <c r="N41" s="120"/>
    </row>
    <row r="42" spans="1:14" x14ac:dyDescent="0.3">
      <c r="A42" s="78"/>
      <c r="B42" s="116" t="s">
        <v>216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217</v>
      </c>
      <c r="B43" s="114" t="s">
        <v>218</v>
      </c>
      <c r="C43" s="114"/>
      <c r="D43" s="114"/>
      <c r="E43" s="76" t="s">
        <v>219</v>
      </c>
      <c r="F43" s="76">
        <v>6300</v>
      </c>
      <c r="G43" s="77">
        <f>55938/H9/1000</f>
        <v>7.518548387096774E-2</v>
      </c>
      <c r="H43" s="118">
        <f>F43/1000-G43</f>
        <v>6.2248145161290322</v>
      </c>
      <c r="I43" s="119"/>
      <c r="N43" s="120"/>
    </row>
    <row r="44" spans="1:14" x14ac:dyDescent="0.3">
      <c r="A44" s="78" t="s">
        <v>220</v>
      </c>
      <c r="B44" s="114" t="s">
        <v>221</v>
      </c>
      <c r="C44" s="114" t="s">
        <v>222</v>
      </c>
      <c r="D44" s="114"/>
      <c r="E44" s="76" t="s">
        <v>187</v>
      </c>
      <c r="F44" s="76">
        <v>6300</v>
      </c>
      <c r="G44" s="77">
        <f>187968/H9/1000</f>
        <v>0.25264516129032261</v>
      </c>
      <c r="H44" s="118">
        <f>F44/1000-G44</f>
        <v>6.0473548387096772</v>
      </c>
      <c r="I44" s="119"/>
      <c r="J44" s="86" t="s">
        <v>223</v>
      </c>
      <c r="L44" s="122"/>
      <c r="N44" s="120"/>
    </row>
    <row r="45" spans="1:14" x14ac:dyDescent="0.3">
      <c r="A45" s="78"/>
      <c r="B45" s="116" t="s">
        <v>188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224</v>
      </c>
      <c r="B46" s="114" t="s">
        <v>225</v>
      </c>
      <c r="C46" s="114"/>
      <c r="D46" s="114"/>
      <c r="E46" s="76" t="s">
        <v>226</v>
      </c>
      <c r="F46" s="76">
        <v>3200</v>
      </c>
      <c r="G46" s="77">
        <f>81732/H9/1000</f>
        <v>0.10985483870967742</v>
      </c>
      <c r="H46" s="118">
        <f t="shared" ref="H46:H53" si="2">F46/1000-G46</f>
        <v>3.0901451612903226</v>
      </c>
      <c r="I46" s="119"/>
      <c r="N46" s="165" t="e">
        <f>96642/O26/1000</f>
        <v>#DIV/0!</v>
      </c>
    </row>
    <row r="47" spans="1:14" x14ac:dyDescent="0.3">
      <c r="A47" s="78" t="s">
        <v>227</v>
      </c>
      <c r="B47" s="114" t="s">
        <v>228</v>
      </c>
      <c r="C47" s="114"/>
      <c r="D47" s="114"/>
      <c r="E47" s="76" t="s">
        <v>229</v>
      </c>
      <c r="F47" s="76">
        <v>3200</v>
      </c>
      <c r="G47" s="77">
        <f>1257018/H9/1000</f>
        <v>1.6895403225806451</v>
      </c>
      <c r="H47" s="118">
        <f t="shared" si="2"/>
        <v>1.5104596774193551</v>
      </c>
      <c r="I47" s="119"/>
      <c r="N47" s="165" t="e">
        <f>1845795/O26/1000</f>
        <v>#DIV/0!</v>
      </c>
    </row>
    <row r="48" spans="1:14" x14ac:dyDescent="0.3">
      <c r="A48" s="78" t="s">
        <v>230</v>
      </c>
      <c r="B48" s="114" t="s">
        <v>231</v>
      </c>
      <c r="C48" s="114" t="s">
        <v>166</v>
      </c>
      <c r="D48" s="114"/>
      <c r="E48" s="76" t="s">
        <v>179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167</v>
      </c>
      <c r="D49" s="114"/>
      <c r="E49" s="76" t="s">
        <v>232</v>
      </c>
      <c r="F49" s="76">
        <v>2500</v>
      </c>
      <c r="G49" s="77">
        <f>353064/H9/1000</f>
        <v>0.47454838709677422</v>
      </c>
      <c r="H49" s="118">
        <f t="shared" si="2"/>
        <v>2.0254516129032258</v>
      </c>
      <c r="I49" s="119"/>
      <c r="N49" s="120"/>
    </row>
    <row r="50" spans="1:14" x14ac:dyDescent="0.3">
      <c r="A50" s="78" t="s">
        <v>233</v>
      </c>
      <c r="B50" s="114" t="s">
        <v>234</v>
      </c>
      <c r="C50" s="114" t="s">
        <v>166</v>
      </c>
      <c r="D50" s="114"/>
      <c r="E50" s="76">
        <v>6.62</v>
      </c>
      <c r="F50" s="76">
        <v>1800</v>
      </c>
      <c r="G50" s="77">
        <f>1638/H9/1000</f>
        <v>2.2016129032258066E-3</v>
      </c>
      <c r="H50" s="118">
        <f t="shared" si="2"/>
        <v>1.7977983870967742</v>
      </c>
      <c r="I50" s="119"/>
      <c r="N50" s="120"/>
    </row>
    <row r="51" spans="1:14" x14ac:dyDescent="0.3">
      <c r="A51" s="123"/>
      <c r="B51" s="113" t="s">
        <v>235</v>
      </c>
      <c r="C51" s="114" t="s">
        <v>167</v>
      </c>
      <c r="D51" s="114"/>
      <c r="E51" s="76">
        <v>11.1</v>
      </c>
      <c r="F51" s="76">
        <v>1600</v>
      </c>
      <c r="G51" s="77">
        <f>850941/H9/1000</f>
        <v>1.1437379032258064</v>
      </c>
      <c r="H51" s="118">
        <f t="shared" si="2"/>
        <v>0.45626209677419372</v>
      </c>
      <c r="I51" s="119"/>
      <c r="N51" s="120"/>
    </row>
    <row r="52" spans="1:14" x14ac:dyDescent="0.3">
      <c r="A52" s="78" t="s">
        <v>236</v>
      </c>
      <c r="B52" s="113" t="s">
        <v>237</v>
      </c>
      <c r="C52" s="114"/>
      <c r="D52" s="114"/>
      <c r="E52" s="76">
        <v>0.4</v>
      </c>
      <c r="F52" s="76">
        <v>560</v>
      </c>
      <c r="G52" s="77">
        <f>(28911)/H9/1000</f>
        <v>3.8858870967741939E-2</v>
      </c>
      <c r="H52" s="118">
        <f t="shared" si="2"/>
        <v>0.52114112903225807</v>
      </c>
      <c r="I52" s="119"/>
      <c r="N52" s="120"/>
    </row>
    <row r="53" spans="1:14" x14ac:dyDescent="0.3">
      <c r="A53" s="124" t="s">
        <v>238</v>
      </c>
      <c r="B53" s="125" t="s">
        <v>306</v>
      </c>
      <c r="C53" s="126"/>
      <c r="D53" s="126"/>
      <c r="E53" s="127">
        <v>0.4</v>
      </c>
      <c r="F53" s="127">
        <v>630</v>
      </c>
      <c r="G53" s="166">
        <f>(2800)/H9/1000</f>
        <v>3.763440860215054E-3</v>
      </c>
      <c r="H53" s="128">
        <f t="shared" si="2"/>
        <v>0.62623655913978493</v>
      </c>
      <c r="I53" s="119"/>
      <c r="N53" s="120"/>
    </row>
    <row r="54" spans="1:14" x14ac:dyDescent="0.3">
      <c r="A54" s="93"/>
      <c r="B54" s="129"/>
      <c r="C54" s="93"/>
      <c r="D54" s="93"/>
      <c r="E54" s="95"/>
      <c r="F54" s="95"/>
      <c r="G54" s="79"/>
      <c r="H54" s="130"/>
      <c r="I54" s="119"/>
      <c r="N54" s="120"/>
    </row>
    <row r="55" spans="1:14" x14ac:dyDescent="0.3">
      <c r="A55" s="93"/>
      <c r="B55" s="129"/>
      <c r="C55" s="93"/>
      <c r="D55" s="93"/>
      <c r="E55" s="95"/>
      <c r="F55" s="95"/>
      <c r="G55" s="79"/>
      <c r="H55" s="130"/>
      <c r="I55" s="119"/>
      <c r="N55" s="120"/>
    </row>
    <row r="56" spans="1:14" x14ac:dyDescent="0.3">
      <c r="C56" s="131"/>
      <c r="E56" s="131"/>
      <c r="H56" s="80"/>
    </row>
    <row r="57" spans="1:14" ht="18" x14ac:dyDescent="0.35">
      <c r="C57" s="132"/>
      <c r="D57" s="133"/>
      <c r="E57" s="131"/>
      <c r="G57" s="174" t="s">
        <v>239</v>
      </c>
      <c r="H57" s="174"/>
    </row>
    <row r="58" spans="1:14" x14ac:dyDescent="0.3">
      <c r="B58" s="175" t="s">
        <v>240</v>
      </c>
      <c r="C58" s="176"/>
      <c r="D58" s="176"/>
      <c r="E58" s="176"/>
      <c r="F58" s="176"/>
      <c r="G58" s="176"/>
      <c r="H58" s="176"/>
    </row>
    <row r="59" spans="1:14" ht="18" x14ac:dyDescent="0.35">
      <c r="B59" s="134"/>
      <c r="C59" s="135"/>
      <c r="D59" s="134" t="s">
        <v>241</v>
      </c>
      <c r="E59" s="131"/>
      <c r="G59" s="177" t="str">
        <f>G5</f>
        <v>за май 2023г.</v>
      </c>
      <c r="H59" s="177"/>
    </row>
    <row r="60" spans="1:14" x14ac:dyDescent="0.3">
      <c r="A60" s="168" t="s">
        <v>142</v>
      </c>
      <c r="B60" s="168" t="s">
        <v>242</v>
      </c>
      <c r="C60" s="136" t="s">
        <v>243</v>
      </c>
      <c r="D60" s="168" t="s">
        <v>244</v>
      </c>
      <c r="E60" s="136" t="s">
        <v>245</v>
      </c>
      <c r="F60" s="137" t="s">
        <v>246</v>
      </c>
      <c r="G60" s="168" t="s">
        <v>247</v>
      </c>
      <c r="H60" s="138" t="s">
        <v>248</v>
      </c>
    </row>
    <row r="61" spans="1:14" x14ac:dyDescent="0.3">
      <c r="A61" s="169"/>
      <c r="B61" s="169"/>
      <c r="C61" s="139" t="s">
        <v>249</v>
      </c>
      <c r="D61" s="169"/>
      <c r="E61" s="139" t="s">
        <v>250</v>
      </c>
      <c r="F61" s="140" t="s">
        <v>251</v>
      </c>
      <c r="G61" s="170"/>
      <c r="H61" s="139" t="s">
        <v>147</v>
      </c>
    </row>
    <row r="62" spans="1:14" x14ac:dyDescent="0.3">
      <c r="A62" s="141"/>
      <c r="B62" s="141"/>
      <c r="C62" s="81" t="s">
        <v>252</v>
      </c>
      <c r="D62" s="81" t="s">
        <v>253</v>
      </c>
      <c r="E62" s="81" t="s">
        <v>148</v>
      </c>
      <c r="F62" s="142" t="s">
        <v>150</v>
      </c>
      <c r="G62" s="81" t="s">
        <v>150</v>
      </c>
      <c r="H62" s="81" t="s">
        <v>150</v>
      </c>
    </row>
    <row r="63" spans="1:14" x14ac:dyDescent="0.3">
      <c r="A63" s="143"/>
      <c r="B63" s="144" t="s">
        <v>254</v>
      </c>
      <c r="C63" s="145"/>
      <c r="D63" s="144"/>
      <c r="E63" s="145"/>
      <c r="F63" s="146"/>
      <c r="G63" s="81"/>
      <c r="H63" s="81"/>
    </row>
    <row r="64" spans="1:14" x14ac:dyDescent="0.3">
      <c r="A64" s="147" t="s">
        <v>154</v>
      </c>
      <c r="B64" s="148" t="s">
        <v>255</v>
      </c>
      <c r="C64" s="149"/>
      <c r="D64" s="148"/>
      <c r="E64" s="149"/>
      <c r="F64" s="150"/>
      <c r="G64" s="151"/>
      <c r="H64" s="152">
        <v>744</v>
      </c>
    </row>
    <row r="65" spans="1:14" x14ac:dyDescent="0.3">
      <c r="A65" s="78"/>
      <c r="B65" s="114" t="s">
        <v>256</v>
      </c>
      <c r="C65" s="76">
        <v>176.7</v>
      </c>
      <c r="D65" s="114" t="s">
        <v>257</v>
      </c>
      <c r="E65" s="76">
        <v>110</v>
      </c>
      <c r="F65" s="76">
        <v>56.5</v>
      </c>
      <c r="G65" s="77">
        <f>1535820/H64/1000</f>
        <v>2.0642741935483873</v>
      </c>
      <c r="H65" s="153">
        <f>F65-G65</f>
        <v>54.435725806451615</v>
      </c>
    </row>
    <row r="66" spans="1:14" x14ac:dyDescent="0.3">
      <c r="A66" s="78"/>
      <c r="B66" s="114" t="s">
        <v>258</v>
      </c>
      <c r="C66" s="76">
        <v>176.7</v>
      </c>
      <c r="D66" s="114" t="s">
        <v>257</v>
      </c>
      <c r="E66" s="76">
        <v>110</v>
      </c>
      <c r="F66" s="76">
        <v>56.5</v>
      </c>
      <c r="G66" s="77">
        <f>9778824/H64/1000</f>
        <v>13.14358064516129</v>
      </c>
      <c r="H66" s="153">
        <f t="shared" ref="H66:H107" si="3">F66-G66</f>
        <v>43.356419354838707</v>
      </c>
    </row>
    <row r="67" spans="1:14" x14ac:dyDescent="0.3">
      <c r="A67" s="78" t="s">
        <v>161</v>
      </c>
      <c r="B67" s="116" t="s">
        <v>259</v>
      </c>
      <c r="C67" s="154"/>
      <c r="D67" s="116"/>
      <c r="E67" s="154"/>
      <c r="F67" s="76"/>
      <c r="G67" s="77"/>
      <c r="H67" s="153"/>
    </row>
    <row r="68" spans="1:14" x14ac:dyDescent="0.3">
      <c r="A68" s="78"/>
      <c r="B68" s="114" t="s">
        <v>260</v>
      </c>
      <c r="C68" s="76">
        <v>10.26</v>
      </c>
      <c r="D68" s="114" t="s">
        <v>261</v>
      </c>
      <c r="E68" s="76">
        <v>110</v>
      </c>
      <c r="F68" s="76">
        <v>56.5</v>
      </c>
      <c r="G68" s="77">
        <f>(7326000-1840000)/H64/1000</f>
        <v>7.373655913978495</v>
      </c>
      <c r="H68" s="153">
        <f t="shared" si="3"/>
        <v>49.126344086021504</v>
      </c>
      <c r="N68" s="155"/>
    </row>
    <row r="69" spans="1:14" x14ac:dyDescent="0.3">
      <c r="A69" s="78"/>
      <c r="B69" s="114" t="s">
        <v>262</v>
      </c>
      <c r="C69" s="76">
        <v>10.054</v>
      </c>
      <c r="D69" s="114" t="s">
        <v>261</v>
      </c>
      <c r="E69" s="76">
        <v>110</v>
      </c>
      <c r="F69" s="76">
        <v>56.5</v>
      </c>
      <c r="G69" s="77">
        <f>(7623000-2065000)/H64/1000</f>
        <v>7.4704301075268811</v>
      </c>
      <c r="H69" s="153">
        <f t="shared" si="3"/>
        <v>49.02956989247312</v>
      </c>
      <c r="I69" s="119"/>
      <c r="N69" s="155"/>
    </row>
    <row r="70" spans="1:14" x14ac:dyDescent="0.3">
      <c r="A70" s="78" t="s">
        <v>164</v>
      </c>
      <c r="B70" s="116" t="s">
        <v>263</v>
      </c>
      <c r="C70" s="154"/>
      <c r="D70" s="116"/>
      <c r="E70" s="154"/>
      <c r="F70" s="76"/>
      <c r="G70" s="77"/>
      <c r="H70" s="153">
        <f t="shared" si="3"/>
        <v>0</v>
      </c>
    </row>
    <row r="71" spans="1:14" x14ac:dyDescent="0.3">
      <c r="A71" s="78"/>
      <c r="B71" s="114" t="s">
        <v>264</v>
      </c>
      <c r="C71" s="76">
        <v>114.9</v>
      </c>
      <c r="D71" s="114" t="s">
        <v>265</v>
      </c>
      <c r="E71" s="76">
        <v>35</v>
      </c>
      <c r="F71" s="76">
        <v>11.4</v>
      </c>
      <c r="G71" s="77">
        <f>73780/H64/1000</f>
        <v>9.9166666666666667E-2</v>
      </c>
      <c r="H71" s="153">
        <f t="shared" si="3"/>
        <v>11.300833333333333</v>
      </c>
    </row>
    <row r="72" spans="1:14" x14ac:dyDescent="0.3">
      <c r="A72" s="78"/>
      <c r="B72" s="114" t="s">
        <v>266</v>
      </c>
      <c r="C72" s="76">
        <v>67.099999999999994</v>
      </c>
      <c r="D72" s="114" t="s">
        <v>267</v>
      </c>
      <c r="E72" s="76">
        <v>35</v>
      </c>
      <c r="F72" s="76">
        <v>14.4</v>
      </c>
      <c r="G72" s="77">
        <f>34797/H64/1000</f>
        <v>4.6770161290322583E-2</v>
      </c>
      <c r="H72" s="153">
        <f t="shared" si="3"/>
        <v>14.353229838709678</v>
      </c>
    </row>
    <row r="73" spans="1:14" x14ac:dyDescent="0.3">
      <c r="A73" s="78"/>
      <c r="B73" s="114" t="s">
        <v>268</v>
      </c>
      <c r="C73" s="76">
        <v>27.2</v>
      </c>
      <c r="D73" s="114" t="s">
        <v>269</v>
      </c>
      <c r="E73" s="76">
        <v>35</v>
      </c>
      <c r="F73" s="76">
        <v>11.4</v>
      </c>
      <c r="G73" s="77">
        <f>366520/H64/1000</f>
        <v>0.49263440860215052</v>
      </c>
      <c r="H73" s="153">
        <f t="shared" si="3"/>
        <v>10.90736559139785</v>
      </c>
    </row>
    <row r="74" spans="1:14" x14ac:dyDescent="0.3">
      <c r="A74" s="78"/>
      <c r="B74" s="114" t="s">
        <v>270</v>
      </c>
      <c r="C74" s="76">
        <v>52.7</v>
      </c>
      <c r="D74" s="114" t="s">
        <v>261</v>
      </c>
      <c r="E74" s="76">
        <v>35</v>
      </c>
      <c r="F74" s="76">
        <v>17.899999999999999</v>
      </c>
      <c r="G74" s="77">
        <f>863667/H64/1000</f>
        <v>1.1608427419354839</v>
      </c>
      <c r="H74" s="153">
        <f t="shared" si="3"/>
        <v>16.739157258064516</v>
      </c>
    </row>
    <row r="75" spans="1:14" x14ac:dyDescent="0.3">
      <c r="A75" s="78"/>
      <c r="B75" s="114" t="s">
        <v>271</v>
      </c>
      <c r="C75" s="76">
        <v>4.82</v>
      </c>
      <c r="D75" s="114" t="s">
        <v>272</v>
      </c>
      <c r="E75" s="76">
        <v>35</v>
      </c>
      <c r="F75" s="76">
        <v>17.899999999999999</v>
      </c>
      <c r="G75" s="77">
        <f>496241/H64/1000</f>
        <v>0.66699059139784944</v>
      </c>
      <c r="H75" s="153">
        <f t="shared" si="3"/>
        <v>17.23300940860215</v>
      </c>
    </row>
    <row r="76" spans="1:14" x14ac:dyDescent="0.3">
      <c r="A76" s="78"/>
      <c r="B76" s="114" t="s">
        <v>273</v>
      </c>
      <c r="C76" s="76">
        <v>4.82</v>
      </c>
      <c r="D76" s="114" t="s">
        <v>272</v>
      </c>
      <c r="E76" s="76">
        <v>35</v>
      </c>
      <c r="F76" s="76">
        <v>17.899999999999999</v>
      </c>
      <c r="G76" s="77">
        <f>337218/H64/1000</f>
        <v>0.45324999999999999</v>
      </c>
      <c r="H76" s="153">
        <f t="shared" si="3"/>
        <v>17.446749999999998</v>
      </c>
    </row>
    <row r="77" spans="1:14" x14ac:dyDescent="0.3">
      <c r="A77" s="78"/>
      <c r="B77" s="114" t="s">
        <v>274</v>
      </c>
      <c r="C77" s="76">
        <v>22</v>
      </c>
      <c r="D77" s="114" t="s">
        <v>267</v>
      </c>
      <c r="E77" s="76">
        <v>35</v>
      </c>
      <c r="F77" s="76">
        <v>17.899999999999999</v>
      </c>
      <c r="G77" s="77">
        <f>229499/H64/1000</f>
        <v>0.30846639784946234</v>
      </c>
      <c r="H77" s="153">
        <f t="shared" si="3"/>
        <v>17.591533602150538</v>
      </c>
    </row>
    <row r="78" spans="1:14" x14ac:dyDescent="0.3">
      <c r="A78" s="78"/>
      <c r="B78" s="114" t="s">
        <v>275</v>
      </c>
      <c r="C78" s="76">
        <v>22</v>
      </c>
      <c r="D78" s="114" t="s">
        <v>267</v>
      </c>
      <c r="E78" s="76">
        <v>35</v>
      </c>
      <c r="F78" s="76">
        <v>17.899999999999999</v>
      </c>
      <c r="G78" s="77">
        <f>331863/H64/1000</f>
        <v>0.44605241935483869</v>
      </c>
      <c r="H78" s="153">
        <f t="shared" si="3"/>
        <v>17.45394758064516</v>
      </c>
    </row>
    <row r="79" spans="1:14" x14ac:dyDescent="0.3">
      <c r="A79" s="78" t="s">
        <v>168</v>
      </c>
      <c r="B79" s="116" t="s">
        <v>276</v>
      </c>
      <c r="C79" s="154"/>
      <c r="D79" s="116"/>
      <c r="E79" s="76"/>
      <c r="F79" s="76"/>
      <c r="G79" s="77"/>
      <c r="H79" s="153"/>
    </row>
    <row r="80" spans="1:14" x14ac:dyDescent="0.3">
      <c r="A80" s="78"/>
      <c r="B80" s="114" t="s">
        <v>277</v>
      </c>
      <c r="C80" s="76">
        <v>33.549999999999997</v>
      </c>
      <c r="D80" s="114" t="s">
        <v>265</v>
      </c>
      <c r="E80" s="76">
        <v>35</v>
      </c>
      <c r="F80" s="76">
        <v>9.5</v>
      </c>
      <c r="G80" s="77">
        <f>184247/H64/1000</f>
        <v>0.24764381720430109</v>
      </c>
      <c r="H80" s="153">
        <f t="shared" si="3"/>
        <v>9.2523561827956993</v>
      </c>
    </row>
    <row r="81" spans="1:8" x14ac:dyDescent="0.3">
      <c r="A81" s="78"/>
      <c r="B81" s="114" t="s">
        <v>278</v>
      </c>
      <c r="C81" s="76">
        <v>27.7</v>
      </c>
      <c r="D81" s="114" t="s">
        <v>267</v>
      </c>
      <c r="E81" s="76">
        <v>35</v>
      </c>
      <c r="F81" s="76">
        <v>9.5</v>
      </c>
      <c r="G81" s="77">
        <f>63739/H64/1000</f>
        <v>8.5670698924731184E-2</v>
      </c>
      <c r="H81" s="153">
        <f t="shared" si="3"/>
        <v>9.4143293010752682</v>
      </c>
    </row>
    <row r="82" spans="1:8" x14ac:dyDescent="0.3">
      <c r="A82" s="78"/>
      <c r="B82" s="114" t="s">
        <v>279</v>
      </c>
      <c r="C82" s="76">
        <v>18.62</v>
      </c>
      <c r="D82" s="114" t="s">
        <v>269</v>
      </c>
      <c r="E82" s="76">
        <v>35</v>
      </c>
      <c r="F82" s="76">
        <v>11.4</v>
      </c>
      <c r="G82" s="77">
        <f>383334/H64/1000</f>
        <v>0.51523387096774198</v>
      </c>
      <c r="H82" s="153">
        <f t="shared" si="3"/>
        <v>10.884766129032258</v>
      </c>
    </row>
    <row r="83" spans="1:8" x14ac:dyDescent="0.3">
      <c r="A83" s="78" t="s">
        <v>172</v>
      </c>
      <c r="B83" s="116" t="s">
        <v>280</v>
      </c>
      <c r="C83" s="154"/>
      <c r="D83" s="116"/>
      <c r="E83" s="76"/>
      <c r="F83" s="76"/>
      <c r="G83" s="77"/>
      <c r="H83" s="153"/>
    </row>
    <row r="84" spans="1:8" x14ac:dyDescent="0.3">
      <c r="A84" s="78"/>
      <c r="B84" s="114" t="s">
        <v>281</v>
      </c>
      <c r="C84" s="76">
        <v>22.5</v>
      </c>
      <c r="D84" s="114" t="s">
        <v>282</v>
      </c>
      <c r="E84" s="76">
        <v>35</v>
      </c>
      <c r="F84" s="76">
        <v>20.7</v>
      </c>
      <c r="G84" s="77">
        <f>6517/H64/1000</f>
        <v>8.7594086021505375E-3</v>
      </c>
      <c r="H84" s="153">
        <f t="shared" si="3"/>
        <v>20.69124059139785</v>
      </c>
    </row>
    <row r="85" spans="1:8" x14ac:dyDescent="0.3">
      <c r="A85" s="78"/>
      <c r="B85" s="114" t="s">
        <v>283</v>
      </c>
      <c r="C85" s="76">
        <v>19.690000000000001</v>
      </c>
      <c r="D85" s="114" t="s">
        <v>261</v>
      </c>
      <c r="E85" s="76">
        <v>35</v>
      </c>
      <c r="F85" s="76">
        <v>20.7</v>
      </c>
      <c r="G85" s="77">
        <f>288886/H64/1000</f>
        <v>0.3882876344086022</v>
      </c>
      <c r="H85" s="153">
        <f t="shared" si="3"/>
        <v>20.311712365591397</v>
      </c>
    </row>
    <row r="86" spans="1:8" x14ac:dyDescent="0.3">
      <c r="A86" s="78" t="s">
        <v>176</v>
      </c>
      <c r="B86" s="116" t="s">
        <v>284</v>
      </c>
      <c r="C86" s="154"/>
      <c r="D86" s="116"/>
      <c r="E86" s="76"/>
      <c r="F86" s="76"/>
      <c r="G86" s="77"/>
      <c r="H86" s="153"/>
    </row>
    <row r="87" spans="1:8" x14ac:dyDescent="0.3">
      <c r="A87" s="78"/>
      <c r="B87" s="114" t="s">
        <v>285</v>
      </c>
      <c r="C87" s="76">
        <v>11.2</v>
      </c>
      <c r="D87" s="114" t="s">
        <v>269</v>
      </c>
      <c r="E87" s="76">
        <v>35</v>
      </c>
      <c r="F87" s="76">
        <v>11.4</v>
      </c>
      <c r="G87" s="77">
        <f>244340/H64/1000</f>
        <v>0.32841397849462367</v>
      </c>
      <c r="H87" s="153">
        <f t="shared" si="3"/>
        <v>11.071586021505377</v>
      </c>
    </row>
    <row r="88" spans="1:8" hidden="1" x14ac:dyDescent="0.3">
      <c r="A88" s="78"/>
      <c r="B88" s="114" t="s">
        <v>286</v>
      </c>
      <c r="C88" s="76">
        <v>12.6</v>
      </c>
      <c r="D88" s="114" t="s">
        <v>269</v>
      </c>
      <c r="E88" s="76">
        <v>35</v>
      </c>
      <c r="F88" s="76">
        <v>11.4</v>
      </c>
      <c r="G88" s="77">
        <v>0</v>
      </c>
      <c r="H88" s="153">
        <f t="shared" si="3"/>
        <v>11.4</v>
      </c>
    </row>
    <row r="89" spans="1:8" x14ac:dyDescent="0.3">
      <c r="A89" s="78" t="s">
        <v>181</v>
      </c>
      <c r="B89" s="116" t="s">
        <v>287</v>
      </c>
      <c r="C89" s="154"/>
      <c r="D89" s="116"/>
      <c r="E89" s="76"/>
      <c r="F89" s="76"/>
      <c r="G89" s="77"/>
      <c r="H89" s="153">
        <f>F89-G89</f>
        <v>0</v>
      </c>
    </row>
    <row r="90" spans="1:8" x14ac:dyDescent="0.3">
      <c r="A90" s="78"/>
      <c r="B90" s="114" t="s">
        <v>288</v>
      </c>
      <c r="C90" s="76">
        <v>13.5</v>
      </c>
      <c r="D90" s="114" t="s">
        <v>267</v>
      </c>
      <c r="E90" s="76">
        <v>35</v>
      </c>
      <c r="F90" s="76">
        <v>14.4</v>
      </c>
      <c r="G90" s="77">
        <f>124060/H64/1000</f>
        <v>0.16674731182795699</v>
      </c>
      <c r="H90" s="153">
        <f t="shared" si="3"/>
        <v>14.233252688172044</v>
      </c>
    </row>
    <row r="91" spans="1:8" x14ac:dyDescent="0.3">
      <c r="A91" s="78" t="s">
        <v>184</v>
      </c>
      <c r="B91" s="116" t="s">
        <v>289</v>
      </c>
      <c r="C91" s="154"/>
      <c r="D91" s="116"/>
      <c r="E91" s="154"/>
      <c r="F91" s="76"/>
      <c r="G91" s="77"/>
      <c r="H91" s="153"/>
    </row>
    <row r="92" spans="1:8" x14ac:dyDescent="0.3">
      <c r="A92" s="78"/>
      <c r="B92" s="114" t="s">
        <v>290</v>
      </c>
      <c r="C92" s="76">
        <v>42</v>
      </c>
      <c r="D92" s="114" t="s">
        <v>261</v>
      </c>
      <c r="E92" s="76">
        <v>110</v>
      </c>
      <c r="F92" s="76">
        <v>56.5</v>
      </c>
      <c r="G92" s="77">
        <f>1691092/H64/1000</f>
        <v>2.27297311827957</v>
      </c>
      <c r="H92" s="153">
        <f t="shared" si="3"/>
        <v>54.227026881720427</v>
      </c>
    </row>
    <row r="93" spans="1:8" x14ac:dyDescent="0.3">
      <c r="A93" s="78"/>
      <c r="B93" s="114" t="s">
        <v>291</v>
      </c>
      <c r="C93" s="76">
        <v>63.2</v>
      </c>
      <c r="D93" s="114" t="s">
        <v>282</v>
      </c>
      <c r="E93" s="76">
        <v>110</v>
      </c>
      <c r="F93" s="121">
        <v>65</v>
      </c>
      <c r="G93" s="77">
        <f>172437/H64/1000</f>
        <v>0.2317701612903226</v>
      </c>
      <c r="H93" s="153">
        <f t="shared" si="3"/>
        <v>64.768229838709672</v>
      </c>
    </row>
    <row r="94" spans="1:8" x14ac:dyDescent="0.3">
      <c r="A94" s="78"/>
      <c r="B94" s="114" t="s">
        <v>292</v>
      </c>
      <c r="C94" s="76">
        <v>49</v>
      </c>
      <c r="D94" s="114" t="s">
        <v>293</v>
      </c>
      <c r="E94" s="76">
        <v>35</v>
      </c>
      <c r="F94" s="76">
        <v>11.4</v>
      </c>
      <c r="G94" s="77">
        <f>4487/H64/1000</f>
        <v>6.0309139784946236E-3</v>
      </c>
      <c r="H94" s="153">
        <f t="shared" si="3"/>
        <v>11.393969086021507</v>
      </c>
    </row>
    <row r="95" spans="1:8" x14ac:dyDescent="0.3">
      <c r="A95" s="78" t="s">
        <v>189</v>
      </c>
      <c r="B95" s="116" t="s">
        <v>294</v>
      </c>
      <c r="C95" s="154"/>
      <c r="D95" s="116"/>
      <c r="E95" s="76"/>
      <c r="F95" s="76"/>
      <c r="G95" s="77"/>
      <c r="H95" s="153"/>
    </row>
    <row r="96" spans="1:8" x14ac:dyDescent="0.3">
      <c r="A96" s="78"/>
      <c r="B96" s="114" t="s">
        <v>295</v>
      </c>
      <c r="C96" s="76">
        <v>75.2</v>
      </c>
      <c r="D96" s="114" t="s">
        <v>267</v>
      </c>
      <c r="E96" s="76">
        <v>35</v>
      </c>
      <c r="F96" s="76">
        <v>11.4</v>
      </c>
      <c r="G96" s="77">
        <f>138217/H64/1000</f>
        <v>0.1857755376344086</v>
      </c>
      <c r="H96" s="153">
        <f t="shared" si="3"/>
        <v>11.214224462365591</v>
      </c>
    </row>
    <row r="97" spans="1:8" x14ac:dyDescent="0.3">
      <c r="A97" s="78" t="s">
        <v>192</v>
      </c>
      <c r="B97" s="116" t="s">
        <v>296</v>
      </c>
      <c r="C97" s="154"/>
      <c r="D97" s="116"/>
      <c r="E97" s="76"/>
      <c r="F97" s="76"/>
      <c r="G97" s="77"/>
      <c r="H97" s="153"/>
    </row>
    <row r="98" spans="1:8" x14ac:dyDescent="0.3">
      <c r="A98" s="78"/>
      <c r="B98" s="114" t="s">
        <v>297</v>
      </c>
      <c r="C98" s="76">
        <v>56.26</v>
      </c>
      <c r="D98" s="114" t="s">
        <v>261</v>
      </c>
      <c r="E98" s="76">
        <v>110</v>
      </c>
      <c r="F98" s="76">
        <v>56.5</v>
      </c>
      <c r="G98" s="77">
        <f>38698/H64/1000</f>
        <v>5.2013440860215053E-2</v>
      </c>
      <c r="H98" s="153">
        <f t="shared" si="3"/>
        <v>56.447986559139785</v>
      </c>
    </row>
    <row r="99" spans="1:8" x14ac:dyDescent="0.3">
      <c r="A99" s="78"/>
      <c r="B99" s="114" t="s">
        <v>298</v>
      </c>
      <c r="C99" s="76">
        <v>75.5</v>
      </c>
      <c r="D99" s="114" t="s">
        <v>257</v>
      </c>
      <c r="E99" s="76">
        <v>110</v>
      </c>
      <c r="F99" s="76">
        <v>56.5</v>
      </c>
      <c r="G99" s="77">
        <f>(602272-0)/H64/1000</f>
        <v>0.80950537634408604</v>
      </c>
      <c r="H99" s="153">
        <f t="shared" si="3"/>
        <v>55.690494623655916</v>
      </c>
    </row>
    <row r="100" spans="1:8" x14ac:dyDescent="0.3">
      <c r="A100" s="78"/>
      <c r="B100" s="114" t="s">
        <v>299</v>
      </c>
      <c r="C100" s="76">
        <v>95.9</v>
      </c>
      <c r="D100" s="114" t="s">
        <v>293</v>
      </c>
      <c r="E100" s="76">
        <v>35</v>
      </c>
      <c r="F100" s="76">
        <v>11.4</v>
      </c>
      <c r="G100" s="77">
        <f>130284/H64/1000</f>
        <v>0.17511290322580647</v>
      </c>
      <c r="H100" s="153">
        <f t="shared" si="3"/>
        <v>11.224887096774195</v>
      </c>
    </row>
    <row r="101" spans="1:8" x14ac:dyDescent="0.3">
      <c r="A101" s="78" t="s">
        <v>195</v>
      </c>
      <c r="B101" s="116" t="s">
        <v>300</v>
      </c>
      <c r="C101" s="154"/>
      <c r="D101" s="116"/>
      <c r="E101" s="76"/>
      <c r="F101" s="76"/>
      <c r="G101" s="77"/>
      <c r="H101" s="153"/>
    </row>
    <row r="102" spans="1:8" x14ac:dyDescent="0.3">
      <c r="A102" s="78"/>
      <c r="B102" s="114" t="s">
        <v>299</v>
      </c>
      <c r="C102" s="76">
        <v>43.3</v>
      </c>
      <c r="D102" s="114" t="s">
        <v>261</v>
      </c>
      <c r="E102" s="76">
        <v>35</v>
      </c>
      <c r="F102" s="76">
        <v>17.899999999999999</v>
      </c>
      <c r="G102" s="77">
        <f>0/H64/1000</f>
        <v>0</v>
      </c>
      <c r="H102" s="153">
        <f t="shared" si="3"/>
        <v>17.899999999999999</v>
      </c>
    </row>
    <row r="103" spans="1:8" x14ac:dyDescent="0.3">
      <c r="A103" s="78" t="s">
        <v>199</v>
      </c>
      <c r="B103" s="116" t="s">
        <v>301</v>
      </c>
      <c r="C103" s="154"/>
      <c r="D103" s="116"/>
      <c r="E103" s="76"/>
      <c r="F103" s="76"/>
      <c r="G103" s="77"/>
      <c r="H103" s="153"/>
    </row>
    <row r="104" spans="1:8" x14ac:dyDescent="0.3">
      <c r="A104" s="78"/>
      <c r="B104" s="114" t="s">
        <v>302</v>
      </c>
      <c r="C104" s="76">
        <v>42</v>
      </c>
      <c r="D104" s="114" t="s">
        <v>267</v>
      </c>
      <c r="E104" s="76">
        <v>35</v>
      </c>
      <c r="F104" s="76">
        <v>14.4</v>
      </c>
      <c r="G104" s="77">
        <f>0/H64/1000</f>
        <v>0</v>
      </c>
      <c r="H104" s="153">
        <f t="shared" si="3"/>
        <v>14.4</v>
      </c>
    </row>
    <row r="105" spans="1:8" x14ac:dyDescent="0.3">
      <c r="A105" s="78"/>
      <c r="B105" s="114" t="s">
        <v>303</v>
      </c>
      <c r="C105" s="76">
        <v>37</v>
      </c>
      <c r="D105" s="114" t="s">
        <v>267</v>
      </c>
      <c r="E105" s="76">
        <v>35</v>
      </c>
      <c r="F105" s="76">
        <v>14.4</v>
      </c>
      <c r="G105" s="77">
        <f>30601/H64/1000</f>
        <v>4.1130376344086027E-2</v>
      </c>
      <c r="H105" s="153">
        <f t="shared" si="3"/>
        <v>14.358869623655915</v>
      </c>
    </row>
    <row r="106" spans="1:8" x14ac:dyDescent="0.3">
      <c r="A106" s="78"/>
      <c r="B106" s="114" t="s">
        <v>298</v>
      </c>
      <c r="C106" s="76"/>
      <c r="D106" s="114" t="s">
        <v>267</v>
      </c>
      <c r="E106" s="76">
        <v>35</v>
      </c>
      <c r="F106" s="76">
        <v>14.4</v>
      </c>
      <c r="G106" s="77">
        <f>4416472/H64/1000</f>
        <v>5.9361182795698921</v>
      </c>
      <c r="H106" s="153">
        <f t="shared" si="3"/>
        <v>8.4638817204301091</v>
      </c>
    </row>
    <row r="107" spans="1:8" x14ac:dyDescent="0.3">
      <c r="A107" s="124"/>
      <c r="B107" s="126" t="s">
        <v>304</v>
      </c>
      <c r="C107" s="127">
        <v>91</v>
      </c>
      <c r="D107" s="126" t="s">
        <v>305</v>
      </c>
      <c r="E107" s="127">
        <v>35</v>
      </c>
      <c r="F107" s="127">
        <v>17.899999999999999</v>
      </c>
      <c r="G107" s="166">
        <f>99705/H64/1000</f>
        <v>0.13401209677419354</v>
      </c>
      <c r="H107" s="156">
        <f t="shared" si="3"/>
        <v>17.765987903225806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D7" sqref="D7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x14ac:dyDescent="0.3">
      <c r="A2" s="178" t="s">
        <v>1</v>
      </c>
      <c r="B2" s="178"/>
      <c r="C2" s="178"/>
      <c r="D2" s="178"/>
      <c r="E2" s="178"/>
      <c r="F2" s="178"/>
      <c r="G2" s="178"/>
      <c r="H2" s="178"/>
    </row>
    <row r="4" spans="1:8" x14ac:dyDescent="0.3">
      <c r="A4" s="178" t="s">
        <v>2</v>
      </c>
      <c r="B4" s="178"/>
      <c r="C4" s="178"/>
      <c r="D4" s="178"/>
      <c r="E4" s="178"/>
      <c r="F4" s="178"/>
      <c r="G4" s="178"/>
      <c r="H4" s="178"/>
    </row>
    <row r="6" spans="1:8" x14ac:dyDescent="0.3">
      <c r="A6" s="178" t="s">
        <v>3</v>
      </c>
      <c r="B6" s="178"/>
      <c r="C6" s="178"/>
      <c r="D6" s="178"/>
      <c r="E6" s="178"/>
      <c r="F6" s="178"/>
      <c r="G6" s="178"/>
      <c r="H6" s="178"/>
    </row>
    <row r="7" spans="1:8" x14ac:dyDescent="0.3">
      <c r="B7" s="158" t="s">
        <v>310</v>
      </c>
    </row>
    <row r="8" spans="1:8" s="8" customFormat="1" ht="46.8" x14ac:dyDescent="0.3">
      <c r="A8" s="159" t="s">
        <v>4</v>
      </c>
      <c r="B8" s="159" t="s">
        <v>5</v>
      </c>
      <c r="C8" s="159" t="s">
        <v>6</v>
      </c>
      <c r="D8" s="159" t="s">
        <v>7</v>
      </c>
      <c r="E8" s="159" t="s">
        <v>8</v>
      </c>
      <c r="F8" s="159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13125/744000</f>
        <v>1.7641129032258066E-2</v>
      </c>
      <c r="H11" s="22">
        <f>F11/1000-G11</f>
        <v>2.482358870967742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996534/744000</f>
        <v>1.3394274193548388</v>
      </c>
      <c r="H12" s="13">
        <f t="shared" ref="H12:H49" si="0">F12/1000-G12</f>
        <v>14.660572580645161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1421026/744000</f>
        <v>1.909981182795699</v>
      </c>
      <c r="H13" s="22">
        <f t="shared" si="0"/>
        <v>14.090018817204301</v>
      </c>
    </row>
    <row r="14" spans="1:8" x14ac:dyDescent="0.3">
      <c r="A14" s="24">
        <v>3</v>
      </c>
      <c r="B14" s="25" t="s">
        <v>23</v>
      </c>
      <c r="C14" s="26" t="s">
        <v>13</v>
      </c>
      <c r="D14" s="11" t="s">
        <v>21</v>
      </c>
      <c r="E14" s="24" t="s">
        <v>22</v>
      </c>
      <c r="F14" s="27">
        <v>10000</v>
      </c>
      <c r="G14" s="28">
        <f>51444/744000</f>
        <v>6.9145161290322582E-2</v>
      </c>
      <c r="H14" s="29">
        <f t="shared" si="0"/>
        <v>9.9308548387096778</v>
      </c>
    </row>
    <row r="15" spans="1:8" x14ac:dyDescent="0.3">
      <c r="A15" s="30">
        <v>4</v>
      </c>
      <c r="B15" s="31" t="s">
        <v>24</v>
      </c>
      <c r="C15" s="27" t="s">
        <v>13</v>
      </c>
      <c r="D15" s="11" t="s">
        <v>21</v>
      </c>
      <c r="E15" s="30" t="s">
        <v>22</v>
      </c>
      <c r="F15" s="32">
        <v>10000</v>
      </c>
      <c r="G15" s="33">
        <f>54860/744000</f>
        <v>7.3736559139784941E-2</v>
      </c>
      <c r="H15" s="34">
        <f t="shared" si="0"/>
        <v>9.9262634408602146</v>
      </c>
    </row>
    <row r="16" spans="1:8" x14ac:dyDescent="0.3">
      <c r="A16" s="9">
        <v>5</v>
      </c>
      <c r="B16" s="10" t="s">
        <v>25</v>
      </c>
      <c r="C16" s="11" t="s">
        <v>13</v>
      </c>
      <c r="D16" s="180" t="s">
        <v>21</v>
      </c>
      <c r="E16" s="9" t="s">
        <v>22</v>
      </c>
      <c r="F16" s="11">
        <v>40000</v>
      </c>
      <c r="G16" s="12">
        <f>1158828/744000</f>
        <v>1.5575645161290324</v>
      </c>
      <c r="H16" s="13">
        <f t="shared" si="0"/>
        <v>38.442435483870966</v>
      </c>
    </row>
    <row r="17" spans="1:8" x14ac:dyDescent="0.3">
      <c r="A17" s="19"/>
      <c r="B17" s="20"/>
      <c r="C17" s="21" t="s">
        <v>17</v>
      </c>
      <c r="D17" s="21" t="s">
        <v>21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83070/744000</f>
        <v>0.11165322580645161</v>
      </c>
      <c r="H19" s="18">
        <f>F19/1000-G19</f>
        <v>19.888346774193547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267106/744000</f>
        <v>0.35901344086021503</v>
      </c>
      <c r="H20" s="22">
        <f t="shared" si="0"/>
        <v>9.640986559139785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188520/744000</f>
        <v>0.25338709677419352</v>
      </c>
      <c r="H21" s="42">
        <f t="shared" si="0"/>
        <v>15.746612903225806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23">
        <v>0</v>
      </c>
      <c r="H22" s="18" t="s">
        <v>16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49500/744000</f>
        <v>6.6532258064516125E-2</v>
      </c>
      <c r="H23" s="34">
        <f t="shared" si="0"/>
        <v>2.433467741935484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v>0</v>
      </c>
      <c r="H24" s="18" t="s">
        <v>16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(579552+280833)/744000</f>
        <v>1.1564314516129033</v>
      </c>
      <c r="H25" s="22">
        <f t="shared" si="0"/>
        <v>5.1435685483870968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917130/744000</f>
        <v>1.2327016129032258</v>
      </c>
      <c r="H26" s="18">
        <f>F26/1000-G26</f>
        <v>14.767298387096774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v>0</v>
      </c>
      <c r="H27" s="18" t="s">
        <v>16</v>
      </c>
    </row>
    <row r="28" spans="1:8" x14ac:dyDescent="0.3">
      <c r="A28" s="30">
        <v>11</v>
      </c>
      <c r="B28" s="31" t="s">
        <v>37</v>
      </c>
      <c r="C28" s="27" t="s">
        <v>13</v>
      </c>
      <c r="D28" s="32" t="s">
        <v>40</v>
      </c>
      <c r="E28" s="30" t="s">
        <v>30</v>
      </c>
      <c r="F28" s="27">
        <v>2500</v>
      </c>
      <c r="G28" s="33">
        <f>16578/744000</f>
        <v>2.2282258064516128E-2</v>
      </c>
      <c r="H28" s="34">
        <f t="shared" si="0"/>
        <v>2.4777177419354839</v>
      </c>
    </row>
    <row r="29" spans="1:8" ht="31.2" x14ac:dyDescent="0.3">
      <c r="A29" s="30">
        <v>12</v>
      </c>
      <c r="B29" s="31" t="s">
        <v>39</v>
      </c>
      <c r="C29" s="27" t="s">
        <v>13</v>
      </c>
      <c r="D29" s="38" t="s">
        <v>38</v>
      </c>
      <c r="E29" s="30" t="s">
        <v>30</v>
      </c>
      <c r="F29" s="32">
        <v>2500</v>
      </c>
      <c r="G29" s="33">
        <f>40796/744000</f>
        <v>5.4833333333333331E-2</v>
      </c>
      <c r="H29" s="34">
        <f t="shared" si="0"/>
        <v>2.4451666666666667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f>(5305062+179910)/744000</f>
        <v>7.3722741935483871</v>
      </c>
      <c r="H30" s="42">
        <f>F30/1000-G30</f>
        <v>32.627725806451615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(1947876+148020)/744000</f>
        <v>2.8170645161290322</v>
      </c>
      <c r="H31" s="42">
        <f>F31/1000-G31</f>
        <v>17.182935483870967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311</v>
      </c>
      <c r="E32" s="9" t="s">
        <v>30</v>
      </c>
      <c r="F32" s="11">
        <v>10000</v>
      </c>
      <c r="G32" s="164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606828/744000</f>
        <v>0.81562903225806449</v>
      </c>
      <c r="H33" s="22">
        <f t="shared" si="0"/>
        <v>9.1843709677419358</v>
      </c>
    </row>
    <row r="34" spans="1:8" ht="15" customHeight="1" x14ac:dyDescent="0.3">
      <c r="A34" s="30">
        <v>15</v>
      </c>
      <c r="B34" s="31" t="s">
        <v>44</v>
      </c>
      <c r="C34" s="27" t="s">
        <v>13</v>
      </c>
      <c r="D34" s="36" t="s">
        <v>45</v>
      </c>
      <c r="E34" s="30" t="s">
        <v>46</v>
      </c>
      <c r="F34" s="36">
        <v>6300</v>
      </c>
      <c r="G34" s="33">
        <f>74760/744000</f>
        <v>0.10048387096774193</v>
      </c>
      <c r="H34" s="34">
        <f t="shared" si="0"/>
        <v>6.1995161290322578</v>
      </c>
    </row>
    <row r="35" spans="1:8" ht="46.8" hidden="1" x14ac:dyDescent="0.3">
      <c r="A35" s="9">
        <v>16</v>
      </c>
      <c r="B35" s="10" t="s">
        <v>47</v>
      </c>
      <c r="C35" s="11" t="s">
        <v>13</v>
      </c>
      <c r="D35" s="40" t="s">
        <v>48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49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50</v>
      </c>
      <c r="C37" s="11" t="s">
        <v>13</v>
      </c>
      <c r="D37" s="180" t="s">
        <v>21</v>
      </c>
      <c r="E37" s="9" t="s">
        <v>27</v>
      </c>
      <c r="F37" s="11">
        <v>5600</v>
      </c>
      <c r="G37" s="35">
        <f>77488/744000</f>
        <v>0.1041505376344086</v>
      </c>
      <c r="H37" s="39">
        <f t="shared" si="0"/>
        <v>5.4958494623655909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52</v>
      </c>
      <c r="C39" s="27" t="s">
        <v>13</v>
      </c>
      <c r="D39" s="36" t="s">
        <v>51</v>
      </c>
      <c r="E39" s="30" t="s">
        <v>27</v>
      </c>
      <c r="F39" s="36">
        <v>560</v>
      </c>
      <c r="G39" s="33">
        <f>17606/744000</f>
        <v>2.3663978494623657E-2</v>
      </c>
      <c r="H39" s="34">
        <f t="shared" si="0"/>
        <v>0.5363360215053764</v>
      </c>
    </row>
    <row r="40" spans="1:8" x14ac:dyDescent="0.3">
      <c r="A40" s="9">
        <v>19</v>
      </c>
      <c r="B40" s="10" t="s">
        <v>53</v>
      </c>
      <c r="C40" s="11" t="s">
        <v>13</v>
      </c>
      <c r="D40" s="180" t="s">
        <v>21</v>
      </c>
      <c r="E40" s="9" t="s">
        <v>27</v>
      </c>
      <c r="F40" s="11">
        <v>2500</v>
      </c>
      <c r="G40" s="37">
        <f>11895/744000</f>
        <v>1.5987903225806451E-2</v>
      </c>
      <c r="H40" s="39">
        <f t="shared" si="0"/>
        <v>2.4840120967741934</v>
      </c>
    </row>
    <row r="41" spans="1:8" x14ac:dyDescent="0.3">
      <c r="A41" s="19"/>
      <c r="B41" s="20"/>
      <c r="C41" s="21" t="s">
        <v>17</v>
      </c>
      <c r="D41" s="21" t="s">
        <v>21</v>
      </c>
      <c r="E41" s="19" t="s">
        <v>27</v>
      </c>
      <c r="F41" s="21">
        <v>2500</v>
      </c>
      <c r="G41" s="23">
        <f>1324/744000</f>
        <v>1.7795698924731184E-3</v>
      </c>
      <c r="H41" s="22">
        <f t="shared" si="0"/>
        <v>2.4982204301075268</v>
      </c>
    </row>
    <row r="42" spans="1:8" x14ac:dyDescent="0.3">
      <c r="A42" s="30">
        <v>20</v>
      </c>
      <c r="B42" s="31" t="s">
        <v>54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25655/744000</f>
        <v>3.4482526881720432E-2</v>
      </c>
      <c r="H42" s="34">
        <f t="shared" si="0"/>
        <v>1.5655174731182797</v>
      </c>
    </row>
    <row r="43" spans="1:8" x14ac:dyDescent="0.3">
      <c r="A43" s="30">
        <v>21</v>
      </c>
      <c r="B43" s="31" t="s">
        <v>55</v>
      </c>
      <c r="C43" s="27" t="s">
        <v>13</v>
      </c>
      <c r="D43" s="27" t="s">
        <v>56</v>
      </c>
      <c r="E43" s="30" t="s">
        <v>27</v>
      </c>
      <c r="F43" s="27">
        <v>6300</v>
      </c>
      <c r="G43" s="33">
        <f>181827/744000</f>
        <v>0.24439112903225807</v>
      </c>
      <c r="H43" s="34">
        <f t="shared" si="0"/>
        <v>6.0556088709677418</v>
      </c>
    </row>
    <row r="44" spans="1:8" ht="31.2" x14ac:dyDescent="0.3">
      <c r="A44" s="9">
        <v>22</v>
      </c>
      <c r="B44" s="10" t="s">
        <v>57</v>
      </c>
      <c r="C44" s="11" t="s">
        <v>13</v>
      </c>
      <c r="D44" s="40" t="s">
        <v>58</v>
      </c>
      <c r="E44" s="9" t="s">
        <v>27</v>
      </c>
      <c r="F44" s="11">
        <v>4000</v>
      </c>
      <c r="G44" s="12">
        <f>59808/744000</f>
        <v>8.0387096774193548E-2</v>
      </c>
      <c r="H44" s="13">
        <f t="shared" si="0"/>
        <v>3.9196129032258065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59</v>
      </c>
      <c r="C46" s="11" t="s">
        <v>13</v>
      </c>
      <c r="D46" s="11" t="s">
        <v>60</v>
      </c>
      <c r="E46" s="9" t="s">
        <v>27</v>
      </c>
      <c r="F46" s="11">
        <v>4000</v>
      </c>
      <c r="G46" s="37">
        <v>0</v>
      </c>
      <c r="H46" s="37">
        <f>F46/1000-G46</f>
        <v>4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61296/744000</f>
        <v>8.2387096774193549E-2</v>
      </c>
      <c r="H47" s="37">
        <f>F47/1000-G47</f>
        <v>3.9176129032258062</v>
      </c>
    </row>
    <row r="48" spans="1:8" x14ac:dyDescent="0.3">
      <c r="A48" s="30">
        <v>24</v>
      </c>
      <c r="B48" s="31" t="s">
        <v>61</v>
      </c>
      <c r="C48" s="27" t="s">
        <v>13</v>
      </c>
      <c r="D48" s="27" t="s">
        <v>62</v>
      </c>
      <c r="E48" s="30" t="s">
        <v>63</v>
      </c>
      <c r="F48" s="27"/>
      <c r="G48" s="33">
        <v>0</v>
      </c>
      <c r="H48" s="34" t="s">
        <v>64</v>
      </c>
    </row>
    <row r="49" spans="1:10" x14ac:dyDescent="0.3">
      <c r="A49" s="30">
        <v>25</v>
      </c>
      <c r="B49" s="31" t="s">
        <v>65</v>
      </c>
      <c r="C49" s="27" t="s">
        <v>13</v>
      </c>
      <c r="D49" s="27" t="s">
        <v>66</v>
      </c>
      <c r="E49" s="30" t="s">
        <v>27</v>
      </c>
      <c r="F49" s="27">
        <v>1000</v>
      </c>
      <c r="G49" s="33">
        <f>60848/744000</f>
        <v>8.1784946236559145E-2</v>
      </c>
      <c r="H49" s="34">
        <f t="shared" si="0"/>
        <v>0.91821505376344081</v>
      </c>
    </row>
    <row r="50" spans="1:10" x14ac:dyDescent="0.3">
      <c r="A50" s="30">
        <v>26</v>
      </c>
      <c r="B50" s="31" t="s">
        <v>67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79" t="s">
        <v>68</v>
      </c>
      <c r="B52" s="179"/>
      <c r="C52" s="179"/>
      <c r="D52" s="179"/>
      <c r="E52" s="179"/>
      <c r="F52" s="179"/>
      <c r="G52" s="179"/>
      <c r="H52" s="179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69</v>
      </c>
      <c r="C54" s="6" t="s">
        <v>70</v>
      </c>
      <c r="D54" s="6" t="s">
        <v>71</v>
      </c>
      <c r="E54" s="6" t="s">
        <v>8</v>
      </c>
      <c r="F54" s="6" t="s">
        <v>72</v>
      </c>
      <c r="G54" s="7" t="s">
        <v>73</v>
      </c>
      <c r="H54" s="7" t="s">
        <v>11</v>
      </c>
    </row>
    <row r="55" spans="1:10" x14ac:dyDescent="0.3">
      <c r="A55" s="30"/>
      <c r="B55" s="160" t="s">
        <v>74</v>
      </c>
      <c r="C55" s="31"/>
      <c r="D55" s="27"/>
      <c r="E55" s="160"/>
      <c r="F55" s="27"/>
      <c r="G55" s="33"/>
      <c r="H55" s="34"/>
    </row>
    <row r="56" spans="1:10" x14ac:dyDescent="0.3">
      <c r="A56" s="9">
        <v>1</v>
      </c>
      <c r="B56" s="10" t="s">
        <v>75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6445450/744000</f>
        <v>8.6632392473118287</v>
      </c>
      <c r="H56" s="46">
        <f t="shared" ref="H56:H108" si="1">F56-G56</f>
        <v>56.990260752688165</v>
      </c>
    </row>
    <row r="57" spans="1:10" x14ac:dyDescent="0.3">
      <c r="A57" s="14">
        <v>2</v>
      </c>
      <c r="B57" s="15" t="s">
        <v>76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2324757/744000</f>
        <v>3.1246733870967742</v>
      </c>
      <c r="H57" s="46">
        <f t="shared" si="1"/>
        <v>85.408076612903216</v>
      </c>
    </row>
    <row r="58" spans="1:10" x14ac:dyDescent="0.3">
      <c r="A58" s="14">
        <v>3</v>
      </c>
      <c r="B58" s="15" t="s">
        <v>77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629990/744000</f>
        <v>0.84676075268817208</v>
      </c>
      <c r="H58" s="46">
        <f t="shared" si="1"/>
        <v>87.685989247311824</v>
      </c>
    </row>
    <row r="59" spans="1:10" x14ac:dyDescent="0.3">
      <c r="A59" s="14">
        <v>4</v>
      </c>
      <c r="B59" s="15" t="s">
        <v>78</v>
      </c>
      <c r="C59" s="49">
        <v>17.3</v>
      </c>
      <c r="D59" s="48" t="s">
        <v>79</v>
      </c>
      <c r="E59" s="16">
        <v>110</v>
      </c>
      <c r="F59" s="46">
        <f>1.73*115*445/1000</f>
        <v>88.532749999999993</v>
      </c>
      <c r="G59" s="17">
        <f>4323174/744000</f>
        <v>5.8107177419354841</v>
      </c>
      <c r="H59" s="46">
        <f t="shared" si="1"/>
        <v>82.722032258064502</v>
      </c>
      <c r="J59" s="1" t="s">
        <v>308</v>
      </c>
    </row>
    <row r="60" spans="1:10" x14ac:dyDescent="0.3">
      <c r="A60" s="14">
        <v>5</v>
      </c>
      <c r="B60" s="15" t="s">
        <v>80</v>
      </c>
      <c r="C60" s="47">
        <v>17.3</v>
      </c>
      <c r="D60" s="48" t="s">
        <v>79</v>
      </c>
      <c r="E60" s="16">
        <v>110</v>
      </c>
      <c r="F60" s="46">
        <f>1.73*115*445/1000</f>
        <v>88.532749999999993</v>
      </c>
      <c r="G60" s="17">
        <f>2187392/744000</f>
        <v>2.9400430107526883</v>
      </c>
      <c r="H60" s="46">
        <f t="shared" si="1"/>
        <v>85.592706989247304</v>
      </c>
    </row>
    <row r="61" spans="1:10" x14ac:dyDescent="0.3">
      <c r="A61" s="14">
        <v>6</v>
      </c>
      <c r="B61" s="15" t="s">
        <v>81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429453/744000</f>
        <v>0.57722177419354836</v>
      </c>
      <c r="H61" s="46">
        <f t="shared" si="1"/>
        <v>87.955528225806447</v>
      </c>
    </row>
    <row r="62" spans="1:10" x14ac:dyDescent="0.3">
      <c r="A62" s="14">
        <v>7</v>
      </c>
      <c r="B62" s="15" t="s">
        <v>82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1042107/744000</f>
        <v>1.4006814516129031</v>
      </c>
      <c r="H62" s="46">
        <f t="shared" si="1"/>
        <v>74.200318548387102</v>
      </c>
    </row>
    <row r="63" spans="1:10" x14ac:dyDescent="0.3">
      <c r="A63" s="14">
        <v>8</v>
      </c>
      <c r="B63" s="15" t="s">
        <v>83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8104883/744000</f>
        <v>10.893659946236559</v>
      </c>
      <c r="H63" s="46">
        <f t="shared" si="1"/>
        <v>90.570840053763447</v>
      </c>
    </row>
    <row r="64" spans="1:10" x14ac:dyDescent="0.3">
      <c r="A64" s="14">
        <v>9</v>
      </c>
      <c r="B64" s="15" t="s">
        <v>84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2880913/744000</f>
        <v>3.8721948924731184</v>
      </c>
      <c r="H64" s="82">
        <f t="shared" si="1"/>
        <v>97.592305107526883</v>
      </c>
    </row>
    <row r="65" spans="1:8" x14ac:dyDescent="0.3">
      <c r="A65" s="14">
        <v>10</v>
      </c>
      <c r="B65" s="15" t="s">
        <v>85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1269480/744000</f>
        <v>1.7062903225806452</v>
      </c>
      <c r="H65" s="82">
        <f t="shared" si="1"/>
        <v>73.894709677419357</v>
      </c>
    </row>
    <row r="66" spans="1:8" x14ac:dyDescent="0.3">
      <c r="A66" s="19">
        <v>11</v>
      </c>
      <c r="B66" s="20" t="s">
        <v>86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2419/744000</f>
        <v>3.2513440860215052E-3</v>
      </c>
      <c r="H66" s="157">
        <f t="shared" si="1"/>
        <v>11.19849865591398</v>
      </c>
    </row>
    <row r="67" spans="1:8" x14ac:dyDescent="0.3">
      <c r="A67" s="30"/>
      <c r="B67" s="160" t="s">
        <v>87</v>
      </c>
      <c r="C67" s="53"/>
      <c r="D67" s="54"/>
      <c r="E67" s="160"/>
      <c r="F67" s="161"/>
      <c r="G67" s="33"/>
      <c r="H67" s="161"/>
    </row>
    <row r="68" spans="1:8" x14ac:dyDescent="0.3">
      <c r="A68" s="9">
        <v>12</v>
      </c>
      <c r="B68" s="10" t="s">
        <v>88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55970/744000</f>
        <v>7.5228494623655912E-2</v>
      </c>
      <c r="H68" s="162">
        <f t="shared" si="1"/>
        <v>75.525771505376341</v>
      </c>
    </row>
    <row r="69" spans="1:8" x14ac:dyDescent="0.3">
      <c r="A69" s="14">
        <v>13</v>
      </c>
      <c r="B69" s="15" t="s">
        <v>89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90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906518/744000</f>
        <v>1.2184381720430109</v>
      </c>
      <c r="H70" s="157">
        <f t="shared" si="1"/>
        <v>74.382561827956991</v>
      </c>
    </row>
    <row r="71" spans="1:8" x14ac:dyDescent="0.3">
      <c r="A71" s="30"/>
      <c r="B71" s="160" t="s">
        <v>91</v>
      </c>
      <c r="C71" s="57"/>
      <c r="D71" s="54"/>
      <c r="E71" s="160"/>
      <c r="F71" s="161"/>
      <c r="G71" s="33"/>
      <c r="H71" s="161"/>
    </row>
    <row r="72" spans="1:8" x14ac:dyDescent="0.3">
      <c r="A72" s="9">
        <v>15</v>
      </c>
      <c r="B72" s="10" t="s">
        <v>92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3751232/744000</f>
        <v>5.0419784946236561</v>
      </c>
      <c r="H72" s="61">
        <f t="shared" si="1"/>
        <v>96.422521505376352</v>
      </c>
    </row>
    <row r="73" spans="1:8" x14ac:dyDescent="0.3">
      <c r="A73" s="19">
        <v>16</v>
      </c>
      <c r="B73" s="20" t="s">
        <v>93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1135724/744000</f>
        <v>1.526510752688172</v>
      </c>
      <c r="H73" s="52">
        <f t="shared" si="1"/>
        <v>15.436139247311829</v>
      </c>
    </row>
    <row r="74" spans="1:8" x14ac:dyDescent="0.3">
      <c r="A74" s="30"/>
      <c r="B74" s="160" t="s">
        <v>94</v>
      </c>
      <c r="C74" s="53"/>
      <c r="D74" s="54"/>
      <c r="E74" s="160"/>
      <c r="F74" s="161"/>
      <c r="G74" s="33"/>
      <c r="H74" s="161"/>
    </row>
    <row r="75" spans="1:8" x14ac:dyDescent="0.3">
      <c r="A75" s="9">
        <v>17</v>
      </c>
      <c r="B75" s="10" t="s">
        <v>95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23319/744000</f>
        <v>3.1342741935483871E-2</v>
      </c>
      <c r="H75" s="45">
        <f t="shared" si="1"/>
        <v>21.091957258064522</v>
      </c>
    </row>
    <row r="76" spans="1:8" x14ac:dyDescent="0.3">
      <c r="A76" s="14">
        <v>18</v>
      </c>
      <c r="B76" s="15" t="s">
        <v>96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959012/744000</f>
        <v>1.288994623655914</v>
      </c>
      <c r="H76" s="46">
        <f t="shared" si="1"/>
        <v>15.673655376344087</v>
      </c>
    </row>
    <row r="77" spans="1:8" x14ac:dyDescent="0.3">
      <c r="A77" s="14">
        <v>19</v>
      </c>
      <c r="B77" s="15" t="s">
        <v>97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98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40603/744000</f>
        <v>5.4573924731182798E-2</v>
      </c>
      <c r="H78" s="46">
        <f t="shared" si="1"/>
        <v>16.908076075268816</v>
      </c>
    </row>
    <row r="79" spans="1:8" x14ac:dyDescent="0.3">
      <c r="A79" s="19">
        <v>21</v>
      </c>
      <c r="B79" s="20" t="s">
        <v>99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47398/744000</f>
        <v>6.3706989247311829E-2</v>
      </c>
      <c r="H79" s="52">
        <f t="shared" si="1"/>
        <v>21.059593010752693</v>
      </c>
    </row>
    <row r="80" spans="1:8" x14ac:dyDescent="0.3">
      <c r="A80" s="30"/>
      <c r="B80" s="160" t="s">
        <v>100</v>
      </c>
      <c r="C80" s="57"/>
      <c r="D80" s="54"/>
      <c r="E80" s="160"/>
      <c r="F80" s="161"/>
      <c r="G80" s="33"/>
      <c r="H80" s="161"/>
    </row>
    <row r="81" spans="1:8" x14ac:dyDescent="0.3">
      <c r="A81" s="30">
        <v>22</v>
      </c>
      <c r="B81" s="31" t="s">
        <v>101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0" t="s">
        <v>102</v>
      </c>
      <c r="C82" s="57"/>
      <c r="D82" s="54"/>
      <c r="E82" s="160"/>
      <c r="F82" s="161"/>
      <c r="G82" s="33"/>
      <c r="H82" s="161"/>
    </row>
    <row r="83" spans="1:8" hidden="1" x14ac:dyDescent="0.3">
      <c r="A83" s="30">
        <v>23</v>
      </c>
      <c r="B83" s="31" t="s">
        <v>103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0" t="s">
        <v>104</v>
      </c>
      <c r="C84" s="57"/>
      <c r="D84" s="54"/>
      <c r="E84" s="160"/>
      <c r="F84" s="161"/>
      <c r="G84" s="33"/>
      <c r="H84" s="161"/>
    </row>
    <row r="85" spans="1:8" x14ac:dyDescent="0.3">
      <c r="A85" s="9">
        <v>24</v>
      </c>
      <c r="B85" s="10" t="s">
        <v>89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20190/744000</f>
        <v>2.7137096774193549E-2</v>
      </c>
      <c r="H85" s="46">
        <f t="shared" si="1"/>
        <v>75.573862903225802</v>
      </c>
    </row>
    <row r="86" spans="1:8" x14ac:dyDescent="0.3">
      <c r="A86" s="14">
        <v>25</v>
      </c>
      <c r="B86" s="15" t="s">
        <v>105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3635280/744000</f>
        <v>4.8861290322580642</v>
      </c>
      <c r="H86" s="46">
        <f t="shared" si="1"/>
        <v>96.578370967741932</v>
      </c>
    </row>
    <row r="87" spans="1:8" x14ac:dyDescent="0.3">
      <c r="A87" s="19">
        <v>26</v>
      </c>
      <c r="B87" s="20" t="s">
        <v>106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863625/744000</f>
        <v>1.1607862903225807</v>
      </c>
      <c r="H87" s="52">
        <f t="shared" si="1"/>
        <v>12.28131370967742</v>
      </c>
    </row>
    <row r="88" spans="1:8" x14ac:dyDescent="0.3">
      <c r="A88" s="30"/>
      <c r="B88" s="160" t="s">
        <v>107</v>
      </c>
      <c r="C88" s="53"/>
      <c r="D88" s="54"/>
      <c r="E88" s="160"/>
      <c r="F88" s="161"/>
      <c r="G88" s="33"/>
      <c r="H88" s="161"/>
    </row>
    <row r="89" spans="1:8" x14ac:dyDescent="0.3">
      <c r="A89" s="9">
        <v>27</v>
      </c>
      <c r="B89" s="10" t="s">
        <v>108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3464472/744000</f>
        <v>4.6565483870967741</v>
      </c>
      <c r="H89" s="61">
        <f>F89-G89</f>
        <v>70.944451612903222</v>
      </c>
    </row>
    <row r="90" spans="1:8" x14ac:dyDescent="0.3">
      <c r="A90" s="19">
        <v>28</v>
      </c>
      <c r="B90" s="20" t="s">
        <v>109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3" t="s">
        <v>16</v>
      </c>
    </row>
    <row r="91" spans="1:8" x14ac:dyDescent="0.3">
      <c r="A91" s="30"/>
      <c r="B91" s="160" t="s">
        <v>110</v>
      </c>
      <c r="C91" s="57"/>
      <c r="D91" s="54"/>
      <c r="E91" s="160"/>
      <c r="F91" s="161"/>
      <c r="G91" s="33"/>
      <c r="H91" s="161"/>
    </row>
    <row r="92" spans="1:8" x14ac:dyDescent="0.3">
      <c r="A92" s="30">
        <v>29</v>
      </c>
      <c r="B92" s="31" t="s">
        <v>111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95165/744000</f>
        <v>0.12790994623655913</v>
      </c>
      <c r="H92" s="59">
        <f t="shared" si="1"/>
        <v>16.83474005376344</v>
      </c>
    </row>
    <row r="93" spans="1:8" x14ac:dyDescent="0.3">
      <c r="A93" s="30"/>
      <c r="B93" s="160" t="s">
        <v>112</v>
      </c>
      <c r="C93" s="57"/>
      <c r="D93" s="54"/>
      <c r="E93" s="160"/>
      <c r="F93" s="161"/>
      <c r="G93" s="33"/>
      <c r="H93" s="161"/>
    </row>
    <row r="94" spans="1:8" x14ac:dyDescent="0.3">
      <c r="A94" s="30">
        <v>30</v>
      </c>
      <c r="B94" s="31" t="s">
        <v>113</v>
      </c>
      <c r="C94" s="53">
        <v>65</v>
      </c>
      <c r="D94" s="54" t="s">
        <v>114</v>
      </c>
      <c r="E94" s="27">
        <v>35</v>
      </c>
      <c r="F94" s="59">
        <f>1.73*37*265/1000</f>
        <v>16.96265</v>
      </c>
      <c r="G94" s="33">
        <f>1523809/744000</f>
        <v>2.0481303763440861</v>
      </c>
      <c r="H94" s="59">
        <f t="shared" si="1"/>
        <v>14.914519623655913</v>
      </c>
    </row>
    <row r="95" spans="1:8" x14ac:dyDescent="0.3">
      <c r="A95" s="30"/>
      <c r="B95" s="160" t="s">
        <v>115</v>
      </c>
      <c r="C95" s="53"/>
      <c r="D95" s="54"/>
      <c r="E95" s="160"/>
      <c r="F95" s="161"/>
      <c r="G95" s="33"/>
      <c r="H95" s="161"/>
    </row>
    <row r="96" spans="1:8" x14ac:dyDescent="0.3">
      <c r="A96" s="9">
        <v>31</v>
      </c>
      <c r="B96" s="10" t="s">
        <v>116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3795/744000</f>
        <v>5.1008064516129036E-3</v>
      </c>
      <c r="H96" s="45">
        <f t="shared" si="1"/>
        <v>16.957549193548388</v>
      </c>
    </row>
    <row r="97" spans="1:8" x14ac:dyDescent="0.3">
      <c r="A97" s="19">
        <v>32</v>
      </c>
      <c r="B97" s="20" t="s">
        <v>117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25655/744000</f>
        <v>3.4482526881720432E-2</v>
      </c>
      <c r="H97" s="52">
        <f t="shared" si="1"/>
        <v>21.088817473118283</v>
      </c>
    </row>
    <row r="98" spans="1:8" x14ac:dyDescent="0.3">
      <c r="A98" s="30"/>
      <c r="B98" s="160" t="s">
        <v>118</v>
      </c>
      <c r="C98" s="64"/>
      <c r="D98" s="65"/>
      <c r="E98" s="160"/>
      <c r="F98" s="161"/>
      <c r="G98" s="33"/>
      <c r="H98" s="161"/>
    </row>
    <row r="99" spans="1:8" x14ac:dyDescent="0.3">
      <c r="A99" s="30">
        <v>33</v>
      </c>
      <c r="B99" s="31" t="s">
        <v>119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8444/744000</f>
        <v>1.1349462365591399E-2</v>
      </c>
      <c r="H99" s="59">
        <f t="shared" si="1"/>
        <v>16.95130053763441</v>
      </c>
    </row>
    <row r="100" spans="1:8" x14ac:dyDescent="0.3">
      <c r="A100" s="30"/>
      <c r="B100" s="160" t="s">
        <v>120</v>
      </c>
      <c r="C100" s="64"/>
      <c r="D100" s="65"/>
      <c r="E100" s="160"/>
      <c r="F100" s="161"/>
      <c r="G100" s="33"/>
      <c r="H100" s="161"/>
    </row>
    <row r="101" spans="1:8" x14ac:dyDescent="0.3">
      <c r="A101" s="30">
        <v>34</v>
      </c>
      <c r="B101" s="31" t="s">
        <v>121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265272/744000</f>
        <v>0.35654838709677417</v>
      </c>
      <c r="H101" s="59">
        <f t="shared" si="1"/>
        <v>20.766751612903231</v>
      </c>
    </row>
    <row r="102" spans="1:8" x14ac:dyDescent="0.3">
      <c r="A102" s="30"/>
      <c r="B102" s="160" t="s">
        <v>122</v>
      </c>
      <c r="C102" s="64"/>
      <c r="D102" s="65"/>
      <c r="E102" s="160"/>
      <c r="F102" s="161"/>
      <c r="G102" s="33"/>
      <c r="H102" s="161"/>
    </row>
    <row r="103" spans="1:8" x14ac:dyDescent="0.3">
      <c r="A103" s="9">
        <v>35</v>
      </c>
      <c r="B103" s="10" t="s">
        <v>123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63336/744000</f>
        <v>8.5129032258064521E-2</v>
      </c>
      <c r="H103" s="45">
        <f t="shared" si="1"/>
        <v>16.877520967741937</v>
      </c>
    </row>
    <row r="104" spans="1:8" x14ac:dyDescent="0.3">
      <c r="A104" s="14">
        <v>36</v>
      </c>
      <c r="B104" s="15" t="s">
        <v>124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83818/744000</f>
        <v>0.11265860215053763</v>
      </c>
      <c r="H104" s="82">
        <f t="shared" si="1"/>
        <v>16.849991397849461</v>
      </c>
    </row>
    <row r="105" spans="1:8" x14ac:dyDescent="0.3">
      <c r="A105" s="19">
        <v>37</v>
      </c>
      <c r="B105" s="20" t="s">
        <v>125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23">
        <v>0</v>
      </c>
      <c r="H105" s="163" t="s">
        <v>16</v>
      </c>
    </row>
    <row r="106" spans="1:8" x14ac:dyDescent="0.3">
      <c r="A106" s="30"/>
      <c r="B106" s="160" t="s">
        <v>126</v>
      </c>
      <c r="C106" s="64"/>
      <c r="D106" s="65"/>
      <c r="E106" s="160"/>
      <c r="F106" s="161"/>
      <c r="G106" s="33"/>
      <c r="H106" s="161"/>
    </row>
    <row r="107" spans="1:8" x14ac:dyDescent="0.3">
      <c r="A107" s="9">
        <v>38</v>
      </c>
      <c r="B107" s="10" t="s">
        <v>127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129014/744000</f>
        <v>0.17340591397849461</v>
      </c>
      <c r="H107" s="45">
        <f t="shared" si="1"/>
        <v>16.789244086021505</v>
      </c>
    </row>
    <row r="108" spans="1:8" x14ac:dyDescent="0.3">
      <c r="A108" s="19">
        <v>39</v>
      </c>
      <c r="B108" s="20" t="s">
        <v>128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101472/744000</f>
        <v>0.13638709677419356</v>
      </c>
      <c r="H108" s="52">
        <f t="shared" si="1"/>
        <v>24.187412903225809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май 2023г.</vt:lpstr>
      <vt:lpstr>БЭУ за май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2023-06-14T03:43:59Z</dcterms:modified>
</cp:coreProperties>
</file>