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ноябрь 2024г." sheetId="3" r:id="rId1"/>
    <sheet name="БЭУ за ноябрь 2024г." sheetId="3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33" l="1"/>
  <c r="F108" i="33"/>
  <c r="H108" i="33" s="1"/>
  <c r="G107" i="33"/>
  <c r="F107" i="33"/>
  <c r="H107" i="33" s="1"/>
  <c r="H105" i="33"/>
  <c r="G105" i="33"/>
  <c r="F105" i="33"/>
  <c r="G104" i="33"/>
  <c r="H104" i="33" s="1"/>
  <c r="F104" i="33"/>
  <c r="G103" i="33"/>
  <c r="F103" i="33"/>
  <c r="H103" i="33" s="1"/>
  <c r="G101" i="33"/>
  <c r="F101" i="33"/>
  <c r="H101" i="33" s="1"/>
  <c r="H99" i="33"/>
  <c r="G99" i="33"/>
  <c r="F99" i="33"/>
  <c r="G97" i="33"/>
  <c r="H97" i="33" s="1"/>
  <c r="F97" i="33"/>
  <c r="G96" i="33"/>
  <c r="F96" i="33"/>
  <c r="H96" i="33" s="1"/>
  <c r="G94" i="33"/>
  <c r="F94" i="33"/>
  <c r="H94" i="33" s="1"/>
  <c r="H92" i="33"/>
  <c r="G92" i="33"/>
  <c r="F92" i="33"/>
  <c r="G90" i="33"/>
  <c r="H90" i="33" s="1"/>
  <c r="F90" i="33"/>
  <c r="G89" i="33"/>
  <c r="F89" i="33"/>
  <c r="H89" i="33" s="1"/>
  <c r="G87" i="33"/>
  <c r="F87" i="33"/>
  <c r="H87" i="33" s="1"/>
  <c r="H86" i="33"/>
  <c r="G86" i="33"/>
  <c r="F86" i="33"/>
  <c r="G85" i="33"/>
  <c r="H85" i="33" s="1"/>
  <c r="F85" i="33"/>
  <c r="F83" i="33"/>
  <c r="F81" i="33"/>
  <c r="H79" i="33"/>
  <c r="G79" i="33"/>
  <c r="F79" i="33"/>
  <c r="G78" i="33"/>
  <c r="H78" i="33" s="1"/>
  <c r="F78" i="33"/>
  <c r="F77" i="33"/>
  <c r="G76" i="33"/>
  <c r="H76" i="33" s="1"/>
  <c r="F76" i="33"/>
  <c r="G75" i="33"/>
  <c r="F75" i="33"/>
  <c r="H75" i="33" s="1"/>
  <c r="G73" i="33"/>
  <c r="F73" i="33"/>
  <c r="H73" i="33" s="1"/>
  <c r="H72" i="33"/>
  <c r="G72" i="33"/>
  <c r="F72" i="33"/>
  <c r="G70" i="33"/>
  <c r="H70" i="33" s="1"/>
  <c r="F70" i="33"/>
  <c r="F69" i="33"/>
  <c r="G68" i="33"/>
  <c r="H68" i="33" s="1"/>
  <c r="F68" i="33"/>
  <c r="G66" i="33"/>
  <c r="F66" i="33"/>
  <c r="H66" i="33" s="1"/>
  <c r="G65" i="33"/>
  <c r="F65" i="33"/>
  <c r="H65" i="33" s="1"/>
  <c r="H64" i="33"/>
  <c r="G64" i="33"/>
  <c r="F64" i="33"/>
  <c r="G63" i="33"/>
  <c r="H63" i="33" s="1"/>
  <c r="F63" i="33"/>
  <c r="G62" i="33"/>
  <c r="F62" i="33"/>
  <c r="H62" i="33" s="1"/>
  <c r="G61" i="33"/>
  <c r="F61" i="33"/>
  <c r="H61" i="33" s="1"/>
  <c r="H60" i="33"/>
  <c r="G60" i="33"/>
  <c r="F60" i="33"/>
  <c r="G59" i="33"/>
  <c r="H59" i="33" s="1"/>
  <c r="F59" i="33"/>
  <c r="G58" i="33"/>
  <c r="F58" i="33"/>
  <c r="H58" i="33" s="1"/>
  <c r="G57" i="33"/>
  <c r="F57" i="33"/>
  <c r="H57" i="33" s="1"/>
  <c r="G56" i="33"/>
  <c r="F56" i="33"/>
  <c r="G49" i="33"/>
  <c r="H49" i="33" s="1"/>
  <c r="H47" i="33"/>
  <c r="G47" i="33"/>
  <c r="G44" i="33"/>
  <c r="H44" i="33" s="1"/>
  <c r="H43" i="33"/>
  <c r="G43" i="33"/>
  <c r="G42" i="33"/>
  <c r="H42" i="33" s="1"/>
  <c r="H40" i="33"/>
  <c r="G40" i="33"/>
  <c r="G39" i="33"/>
  <c r="H39" i="33" s="1"/>
  <c r="H38" i="33"/>
  <c r="G37" i="33"/>
  <c r="H37" i="33" s="1"/>
  <c r="G34" i="33"/>
  <c r="H34" i="33" s="1"/>
  <c r="G33" i="33"/>
  <c r="H33" i="33" s="1"/>
  <c r="G31" i="33"/>
  <c r="H31" i="33" s="1"/>
  <c r="G30" i="33"/>
  <c r="G29" i="33"/>
  <c r="H29" i="33" s="1"/>
  <c r="H28" i="33"/>
  <c r="G28" i="33"/>
  <c r="H27" i="33"/>
  <c r="G26" i="33"/>
  <c r="H26" i="33" s="1"/>
  <c r="H25" i="33"/>
  <c r="G24" i="33"/>
  <c r="H24" i="33" s="1"/>
  <c r="H23" i="33"/>
  <c r="G23" i="33"/>
  <c r="G21" i="33"/>
  <c r="H21" i="33" s="1"/>
  <c r="H20" i="33"/>
  <c r="G20" i="33"/>
  <c r="G19" i="33"/>
  <c r="H19" i="33" s="1"/>
  <c r="H17" i="33"/>
  <c r="G17" i="33"/>
  <c r="G16" i="33"/>
  <c r="H16" i="33" s="1"/>
  <c r="H15" i="33"/>
  <c r="G15" i="33"/>
  <c r="G14" i="33"/>
  <c r="H14" i="33" s="1"/>
  <c r="H13" i="33"/>
  <c r="G13" i="33"/>
  <c r="G12" i="33"/>
  <c r="H12" i="33" s="1"/>
  <c r="H11" i="33"/>
  <c r="G11" i="33"/>
  <c r="G102" i="3" l="1"/>
  <c r="G30" i="3"/>
  <c r="G96" i="3"/>
  <c r="G17" i="3"/>
  <c r="G16" i="3"/>
  <c r="G93" i="3"/>
  <c r="G15" i="3"/>
  <c r="G21" i="3"/>
  <c r="G20" i="3"/>
  <c r="G87" i="3"/>
  <c r="G100" i="3"/>
  <c r="G99" i="3"/>
  <c r="G98" i="3"/>
  <c r="G94" i="3"/>
  <c r="G92" i="3"/>
  <c r="G23" i="3"/>
  <c r="G22" i="3"/>
  <c r="G90" i="3"/>
  <c r="G26" i="3"/>
  <c r="G28" i="3"/>
  <c r="G107" i="3"/>
  <c r="G106" i="3"/>
  <c r="G105" i="3"/>
  <c r="G104" i="3"/>
  <c r="G24" i="3"/>
  <c r="G43" i="3"/>
  <c r="G85" i="3"/>
  <c r="G84" i="3"/>
  <c r="G53" i="3"/>
  <c r="G52" i="3"/>
  <c r="G45" i="3"/>
  <c r="G46" i="3"/>
  <c r="G47" i="3"/>
  <c r="G39" i="3"/>
  <c r="G38" i="3"/>
  <c r="G69" i="3"/>
  <c r="G68" i="3"/>
  <c r="G19" i="3"/>
  <c r="G18" i="3"/>
  <c r="G51" i="3"/>
  <c r="G49" i="3"/>
  <c r="G78" i="3"/>
  <c r="G77" i="3"/>
  <c r="G75" i="3"/>
  <c r="G74" i="3"/>
  <c r="G73" i="3"/>
  <c r="G72" i="3"/>
  <c r="G71" i="3"/>
  <c r="G35" i="3"/>
  <c r="G34" i="3"/>
  <c r="G82" i="3"/>
  <c r="G81" i="3"/>
  <c r="G80" i="3"/>
  <c r="G37" i="3"/>
  <c r="G36" i="3"/>
  <c r="G66" i="3"/>
  <c r="G65" i="3"/>
  <c r="G13" i="3"/>
  <c r="G12" i="3"/>
  <c r="G50" i="3" l="1"/>
  <c r="H64" i="3" l="1"/>
  <c r="G76" i="3" l="1"/>
  <c r="H51" i="3"/>
  <c r="G59" i="3" l="1"/>
  <c r="H35" i="3" l="1"/>
  <c r="G48" i="3" l="1"/>
  <c r="N47" i="3" l="1"/>
  <c r="N46" i="3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<sst xmlns="http://schemas.openxmlformats.org/spreadsheetml/2006/main" count="493" uniqueCount="312">
  <si>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</si>
  <si>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</si>
  <si>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</si>
  <si>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</si>
  <si>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</si>
  <si>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</si>
  <si>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</si>
  <si>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</si>
  <si>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</si>
  <si>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</si>
  <si>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</si>
  <si>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</si>
  <si>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</si>
  <si>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</si>
  <si>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</si>
  <si>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</si>
  <si>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</si>
  <si>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</si>
  <si>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</si>
  <si>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</si>
  <si>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</si>
  <si>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</si>
  <si>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</si>
  <si>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</si>
  <si>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</si>
  <si>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</si>
  <si>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</si>
  <si>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</si>
  <si>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</si>
  <si>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</si>
  <si>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</si>
  <si>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</si>
  <si>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</si>
  <si>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</si>
  <si>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</si>
  <si>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</si>
  <si>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</si>
  <si>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</si>
  <si>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</si>
  <si>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</si>
  <si>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</si>
  <si>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</si>
  <si>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</si>
  <si>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</si>
  <si>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</si>
  <si>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</si>
  <si>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</si>
  <si>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</si>
  <si>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</si>
  <si>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</si>
  <si>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</si>
  <si>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</si>
  <si>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</si>
  <si>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</si>
  <si>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</si>
  <si>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</si>
  <si>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</si>
  <si>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</si>
  <si>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</si>
  <si>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</si>
  <si>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</si>
  <si>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</si>
  <si>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</si>
  <si>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</si>
  <si>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</si>
  <si>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</si>
  <si>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</si>
  <si>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</si>
  <si>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</si>
  <si>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</si>
  <si>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</si>
  <si>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</si>
  <si>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</si>
  <si>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</si>
  <si>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</si>
  <si>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</si>
  <si>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</si>
  <si>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</si>
  <si>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</si>
  <si>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</si>
  <si>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</si>
  <si>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</si>
  <si>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</si>
  <si>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</si>
  <si>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</si>
  <si>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</si>
  <si>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</si>
  <si>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</si>
  <si>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</si>
  <si>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</si>
  <si>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</si>
  <si>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</si>
  <si>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</si>
  <si>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</si>
  <si>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</si>
  <si>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</si>
  <si>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</si>
  <si>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</si>
  <si>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</si>
  <si>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</si>
  <si>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</si>
  <si>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</si>
  <si>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</si>
  <si>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</si>
  <si>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</si>
  <si>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</si>
  <si>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</si>
  <si>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</si>
  <si>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</si>
  <si>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</si>
  <si>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</si>
  <si>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</si>
  <si>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</si>
  <si>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</si>
  <si>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</si>
  <si>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</si>
  <si>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</si>
  <si>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</si>
  <si>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</si>
  <si>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</si>
  <si>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</si>
  <si>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</si>
  <si>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</si>
  <si>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</si>
  <si>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</si>
  <si>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</si>
  <si>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</si>
  <si>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</si>
  <si>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</si>
  <si>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</si>
  <si>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</si>
  <si>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</si>
  <si>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</si>
  <si>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</si>
  <si>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</si>
  <si>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</si>
  <si>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</si>
  <si>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</si>
  <si>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</si>
  <si>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</si>
  <si>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</si>
  <si>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</si>
  <si>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</si>
  <si>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</si>
  <si>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</si>
  <si>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</si>
  <si>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</si>
  <si>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</si>
  <si>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</si>
  <si>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</si>
  <si>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</si>
  <si>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</si>
  <si>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</si>
  <si>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</si>
  <si>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</si>
  <si>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</si>
  <si>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</si>
  <si>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</si>
  <si>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</si>
  <si>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</si>
  <si>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</si>
  <si>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</si>
  <si>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</si>
  <si>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</si>
  <si>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</si>
  <si>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</si>
  <si>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</si>
  <si>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</si>
  <si>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</si>
  <si>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</si>
  <si>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</si>
  <si>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</si>
  <si>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</si>
  <si>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</si>
  <si>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</si>
  <si>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</si>
  <si>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</si>
  <si>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</si>
  <si>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</si>
  <si>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</si>
  <si>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</si>
  <si>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</si>
  <si>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</si>
  <si>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</si>
  <si>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</si>
  <si>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</si>
  <si>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</si>
  <si>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</si>
  <si>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</si>
  <si>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</si>
  <si>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</si>
  <si>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</si>
  <si>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</si>
  <si>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</si>
  <si>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</si>
  <si>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</si>
  <si>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</si>
  <si>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</si>
  <si>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</si>
  <si>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</si>
  <si>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</si>
  <si>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</si>
  <si>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</si>
  <si>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</si>
  <si>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</si>
  <si>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</si>
  <si>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</si>
  <si>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</si>
  <si>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</si>
  <si>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</si>
  <si>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</si>
  <si>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</si>
  <si>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</si>
  <si>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</si>
  <si>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</si>
  <si>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</si>
  <si>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</si>
  <si>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</si>
  <si>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</si>
  <si>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</si>
  <si>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</si>
  <si>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</si>
  <si>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</si>
  <si>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</si>
  <si>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</si>
  <si>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</si>
  <si>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</si>
  <si>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</si>
  <si>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</si>
  <si>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</si>
  <si>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</si>
  <si>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</si>
  <si>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</si>
  <si>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</si>
  <si>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</si>
  <si>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</si>
  <si>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</si>
  <si>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</si>
  <si>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</si>
  <si>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</si>
  <si>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</si>
  <si>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</si>
  <si>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</si>
  <si>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</si>
  <si>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</si>
  <si>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</si>
  <si>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</si>
  <si>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</si>
  <si>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</si>
  <si>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</si>
  <si>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</si>
  <si>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</si>
  <si>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</si>
  <si>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</si>
  <si>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</si>
  <si>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</si>
  <si>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</si>
  <si>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</si>
  <si>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</si>
  <si>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</si>
  <si>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</si>
  <si>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</si>
  <si>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</si>
  <si>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</si>
  <si>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</si>
  <si>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</si>
  <si>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</si>
  <si>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</si>
  <si>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</si>
  <si>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</si>
  <si>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</si>
  <si>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</si>
  <si>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</si>
  <si>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</si>
  <si>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</si>
  <si>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</si>
  <si>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</si>
  <si>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</si>
  <si>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</si>
  <si>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</si>
  <si>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</si>
  <si>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</si>
  <si>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</si>
  <si>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</si>
  <si>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</si>
  <si>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</si>
  <si>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</si>
  <si>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</si>
  <si>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</si>
  <si>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</si>
  <si>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</si>
  <si>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</si>
  <si>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</si>
  <si>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</si>
  <si>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</si>
  <si>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</si>
  <si>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</si>
  <si>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</si>
  <si>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</si>
  <si>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</si>
  <si>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</si>
  <si>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</si>
  <si>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</si>
  <si>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</si>
  <si>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</si>
  <si>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</si>
  <si>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</si>
  <si>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</si>
  <si>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</si>
  <si>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</si>
  <si>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за ноябрь 2024г.</t>
  </si>
  <si>
    <t>Ноябрь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</si>
</sst>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169" fontId="4" fillId="3" borderId="24" xfId="3" applyNumberFormat="1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zoomScale="85" zoomScaleNormal="85" zoomScaleSheetLayoutView="135" workbookViewId="0">
      <selection activeCell="G102" sqref="G102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4"/>
      <c r="G1" s="168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4"/>
      <c r="G3" s="168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2" t="s">
        <v>310</v>
      </c>
      <c r="H5" s="172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3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74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3"/>
      <c r="H9" s="100">
        <v>720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52">
        <f>(9518388+110790)/H9/1000</f>
        <v>13.373858333333333</v>
      </c>
      <c r="H12" s="108">
        <f>F12/1000-G12</f>
        <v>49.626141666666669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52">
        <f>(9550200+142260)/H9/1000</f>
        <v>13.46175</v>
      </c>
      <c r="H13" s="108">
        <f>F13/1000-G13</f>
        <v>49.538249999999998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4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52">
        <f>254210/H9/1000</f>
        <v>0.35306944444444444</v>
      </c>
      <c r="H15" s="108">
        <f t="shared" ref="H15:H21" si="0">F15/1000-G15</f>
        <v>5.9469305555555554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52">
        <f>512292/H9/1000</f>
        <v>0.71151666666666669</v>
      </c>
      <c r="H16" s="108">
        <f t="shared" si="0"/>
        <v>15.288483333333334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52">
        <f>322775/H9/1000</f>
        <v>0.44829861111111108</v>
      </c>
      <c r="H17" s="108">
        <f t="shared" si="0"/>
        <v>15.551701388888889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52">
        <f>275904/H9/1000</f>
        <v>0.38319999999999999</v>
      </c>
      <c r="H18" s="108">
        <f t="shared" si="0"/>
        <v>15.6168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52">
        <f>250092/H9/1000</f>
        <v>0.34735000000000005</v>
      </c>
      <c r="H19" s="108">
        <f t="shared" si="0"/>
        <v>15.65265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52">
        <f>2249480/H9/1000</f>
        <v>3.1242777777777779</v>
      </c>
      <c r="H20" s="108">
        <f t="shared" si="0"/>
        <v>36.875722222222223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52">
        <f>854920/H9/1000</f>
        <v>1.1873888888888888</v>
      </c>
      <c r="H21" s="108">
        <f t="shared" si="0"/>
        <v>38.81261111111111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52">
        <f>(423104+144522-1085343)/H9/1000</f>
        <v>-0.71905138888888898</v>
      </c>
      <c r="H22" s="108">
        <f>F22/1000-G22</f>
        <v>10.719051388888889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52">
        <f>(0+0-0)/H9/1000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52">
        <f>(970024)/H9/1000</f>
        <v>1.3472555555555554</v>
      </c>
      <c r="H24" s="108">
        <f>F24/1000-G24</f>
        <v>4.9527444444444448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4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52">
        <f>128116/H9/1000</f>
        <v>0.1779388888888889</v>
      </c>
      <c r="H26" s="108">
        <f>F26/1000-G26</f>
        <v>0.82206111111111113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64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52">
        <f>24006/H9/1000</f>
        <v>3.3341666666666665E-2</v>
      </c>
      <c r="H28" s="108">
        <f>F28/1000-G28</f>
        <v>0.96665833333333329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52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52">
        <f>40614/H9/1000</f>
        <v>5.6408333333333331E-2</v>
      </c>
      <c r="H30" s="108">
        <f>F30/1000-G30</f>
        <v>6.2435916666666662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64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4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4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52">
        <f>(12241284)/H9/1000</f>
        <v>17.001783333333332</v>
      </c>
      <c r="H34" s="108">
        <f>F34/1000-G34</f>
        <v>7.9982166666666679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52">
        <f>(16200360)/H9/1000</f>
        <v>22.500499999999999</v>
      </c>
      <c r="H35" s="108">
        <f>F35/1000-G35</f>
        <v>2.4995000000000012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52">
        <f>3905616/H9/1000</f>
        <v>5.4244666666666665</v>
      </c>
      <c r="H36" s="108">
        <f t="shared" ref="H36:H41" si="1">F36/1000-G36</f>
        <v>34.575533333333333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52">
        <f>2504040/H9/1000</f>
        <v>3.4778333333333333</v>
      </c>
      <c r="H37" s="108">
        <f t="shared" si="1"/>
        <v>36.522166666666664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52">
        <f>6572896/H9/1000</f>
        <v>9.1290222222222219</v>
      </c>
      <c r="H38" s="108">
        <f t="shared" si="1"/>
        <v>10.870977777777778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52">
        <f>3691952/H9/1000</f>
        <v>5.1277111111111111</v>
      </c>
      <c r="H39" s="108">
        <f t="shared" si="1"/>
        <v>14.872288888888889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52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52">
        <f>21/H9/1000</f>
        <v>2.9166666666666666E-5</v>
      </c>
      <c r="H41" s="108">
        <f t="shared" si="1"/>
        <v>9.9999708333333341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4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52">
        <f>225588/H9/1000</f>
        <v>0.31331666666666669</v>
      </c>
      <c r="H43" s="108">
        <f>F43/1000-G43</f>
        <v>5.9866833333333336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4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52">
        <f>1118736/H9/1000</f>
        <v>1.5537999999999998</v>
      </c>
      <c r="H45" s="108">
        <f>F45/1000-G45</f>
        <v>4.7462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52">
        <f>6664/H9/1000</f>
        <v>9.2555555555555568E-3</v>
      </c>
      <c r="H46" s="108">
        <f t="shared" ref="H46:H53" si="2">F46/1000-G46</f>
        <v>2.4907444444444446</v>
      </c>
      <c r="I46" s="109"/>
      <c r="N46" s="152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52">
        <f>463147/H9/1000</f>
        <v>0.64325972222222216</v>
      </c>
      <c r="H47" s="108">
        <f t="shared" si="2"/>
        <v>5.6567402777777778</v>
      </c>
      <c r="I47" s="109"/>
      <c r="N47" s="152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52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52">
        <f>435208/H9/1000</f>
        <v>0.60445555555555552</v>
      </c>
      <c r="H49" s="108">
        <f t="shared" si="2"/>
        <v>1.8955444444444445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52">
        <f>0/H9/1000</f>
        <v>0</v>
      </c>
      <c r="H50" s="108">
        <f t="shared" si="2"/>
        <v>1.8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52">
        <f>1128771/H9/1000</f>
        <v>1.5677375</v>
      </c>
      <c r="H51" s="108">
        <f>F51/1000-G51</f>
        <v>3.2262500000000083E-2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52">
        <f>(27348)/H9/1000</f>
        <v>3.7983333333333334E-2</v>
      </c>
      <c r="H52" s="108">
        <f t="shared" si="2"/>
        <v>0.21201666666666666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67">
        <f>(18400)/H9/1000</f>
        <v>2.5555555555555557E-2</v>
      </c>
      <c r="H53" s="118">
        <f t="shared" si="2"/>
        <v>0.60444444444444445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5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5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75" t="s">
        <v>231</v>
      </c>
      <c r="H57" s="175"/>
    </row>
    <row r="58" spans="1:14" x14ac:dyDescent="0.3">
      <c r="B58" s="176" t="s">
        <v>232</v>
      </c>
      <c r="C58" s="177"/>
      <c r="D58" s="177"/>
      <c r="E58" s="177"/>
      <c r="F58" s="177"/>
      <c r="G58" s="177"/>
      <c r="H58" s="177"/>
    </row>
    <row r="59" spans="1:14" ht="18" x14ac:dyDescent="0.35">
      <c r="B59" s="124"/>
      <c r="C59" s="125"/>
      <c r="D59" s="124" t="s">
        <v>233</v>
      </c>
      <c r="E59" s="121"/>
      <c r="G59" s="178" t="str">
        <f>G5</f>
        <v>за ноябрь 2024г.</v>
      </c>
      <c r="H59" s="178"/>
    </row>
    <row r="60" spans="1:14" x14ac:dyDescent="0.3">
      <c r="A60" s="169" t="s">
        <v>139</v>
      </c>
      <c r="B60" s="169" t="s">
        <v>234</v>
      </c>
      <c r="C60" s="126" t="s">
        <v>235</v>
      </c>
      <c r="D60" s="169" t="s">
        <v>236</v>
      </c>
      <c r="E60" s="126" t="s">
        <v>237</v>
      </c>
      <c r="F60" s="127" t="s">
        <v>238</v>
      </c>
      <c r="G60" s="169" t="s">
        <v>239</v>
      </c>
      <c r="H60" s="128" t="s">
        <v>240</v>
      </c>
    </row>
    <row r="61" spans="1:14" x14ac:dyDescent="0.3">
      <c r="A61" s="170"/>
      <c r="B61" s="170"/>
      <c r="C61" s="129" t="s">
        <v>241</v>
      </c>
      <c r="D61" s="170"/>
      <c r="E61" s="129" t="s">
        <v>242</v>
      </c>
      <c r="F61" s="130" t="s">
        <v>243</v>
      </c>
      <c r="G61" s="171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6"/>
      <c r="H64" s="141">
        <f>H9</f>
        <v>720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52">
        <f>3839814/H64/1000</f>
        <v>5.333075</v>
      </c>
      <c r="H65" s="142">
        <f>F65-G65</f>
        <v>51.166924999999999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52">
        <f>6751404/H64/1000</f>
        <v>9.3769500000000008</v>
      </c>
      <c r="H66" s="142">
        <f t="shared" ref="H66:H107" si="3">F66-G66</f>
        <v>47.123049999999999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4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52">
        <f>(6204000-1885000)/H64/1000</f>
        <v>5.9986111111111109</v>
      </c>
      <c r="H68" s="142">
        <f t="shared" si="3"/>
        <v>50.50138888888889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52">
        <f>(7084000-2250000)/H64/1000</f>
        <v>6.7138888888888886</v>
      </c>
      <c r="H69" s="142">
        <f t="shared" si="3"/>
        <v>49.786111111111111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4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52">
        <f>98840/H64/1000</f>
        <v>0.13727777777777778</v>
      </c>
      <c r="H71" s="142">
        <f t="shared" si="3"/>
        <v>11.262722222222223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52">
        <f>50064/H64/1000</f>
        <v>6.9533333333333336E-2</v>
      </c>
      <c r="H72" s="142">
        <f t="shared" si="3"/>
        <v>14.330466666666666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52">
        <f>579887/H64/1000</f>
        <v>0.80539861111111111</v>
      </c>
      <c r="H73" s="142">
        <f t="shared" si="3"/>
        <v>10.59460138888889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52">
        <f>1197287/H64/1000</f>
        <v>1.6628986111111113</v>
      </c>
      <c r="H74" s="142">
        <f t="shared" si="3"/>
        <v>16.237101388888888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52">
        <f>876718/H64/1000</f>
        <v>1.2176638888888889</v>
      </c>
      <c r="H75" s="142">
        <f t="shared" si="3"/>
        <v>16.682336111111109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52">
        <f>0/H64/1000</f>
        <v>0</v>
      </c>
      <c r="H76" s="142">
        <f t="shared" si="3"/>
        <v>17.899999999999999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52">
        <f>282282/H64/1000</f>
        <v>0.39205833333333334</v>
      </c>
      <c r="H77" s="142">
        <f t="shared" si="3"/>
        <v>17.507941666666664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52">
        <f>301885/H64/1000</f>
        <v>0.41928472222222224</v>
      </c>
      <c r="H78" s="142">
        <f t="shared" si="3"/>
        <v>17.480715277777776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4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52">
        <f>228613/H64/1000</f>
        <v>0.31751805555555557</v>
      </c>
      <c r="H80" s="142">
        <f t="shared" si="3"/>
        <v>9.1824819444444437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52">
        <f>72356/H64/1000</f>
        <v>0.10049444444444444</v>
      </c>
      <c r="H81" s="142">
        <f t="shared" si="3"/>
        <v>9.3995055555555549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52">
        <f>214270/H64/1000</f>
        <v>0.29759722222222224</v>
      </c>
      <c r="H82" s="142">
        <f t="shared" si="3"/>
        <v>11.102402777777778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4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52">
        <f>95802/H64/1000</f>
        <v>0.13305833333333333</v>
      </c>
      <c r="H84" s="142">
        <f t="shared" si="3"/>
        <v>20.566941666666665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52">
        <f>1941068/H64/1000</f>
        <v>2.6959277777777779</v>
      </c>
      <c r="H85" s="142">
        <f t="shared" si="3"/>
        <v>18.00407222222222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4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52">
        <f>308926/H64/1000</f>
        <v>0.42906388888888886</v>
      </c>
      <c r="H87" s="142">
        <f t="shared" si="3"/>
        <v>10.970936111111111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4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4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52">
        <f>186841/H64/1000</f>
        <v>0.25950138888888885</v>
      </c>
      <c r="H90" s="142">
        <f t="shared" si="3"/>
        <v>14.140498611111111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4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52">
        <f>1196025/H64/1000</f>
        <v>1.6611458333333333</v>
      </c>
      <c r="H92" s="142">
        <f t="shared" si="3"/>
        <v>54.838854166666664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52">
        <f>282294/H64/1000</f>
        <v>0.39207500000000001</v>
      </c>
      <c r="H93" s="142">
        <f t="shared" si="3"/>
        <v>64.607924999999994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52">
        <f>1187335/H64/1000</f>
        <v>1.6490763888888889</v>
      </c>
      <c r="H94" s="142">
        <f t="shared" si="3"/>
        <v>9.7509236111111122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4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52">
        <f>207417/H64/1000</f>
        <v>0.28807916666666666</v>
      </c>
      <c r="H96" s="142">
        <f t="shared" si="3"/>
        <v>11.111920833333334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4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52">
        <f>43428/H64/1000</f>
        <v>6.0316666666666671E-2</v>
      </c>
      <c r="H98" s="142">
        <f t="shared" si="3"/>
        <v>56.439683333333335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52">
        <f>(1011846)/H64/1000</f>
        <v>1.4053416666666667</v>
      </c>
      <c r="H99" s="142">
        <f t="shared" si="3"/>
        <v>55.094658333333335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52">
        <f>189966/H64/1000</f>
        <v>0.26384166666666664</v>
      </c>
      <c r="H100" s="142">
        <f t="shared" si="3"/>
        <v>11.136158333333334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4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52">
        <f>0/H64/1000</f>
        <v>0</v>
      </c>
      <c r="H102" s="142">
        <f t="shared" si="3"/>
        <v>17.899999999999999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4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52">
        <f>10451/H64/1000</f>
        <v>1.4515277777777778E-2</v>
      </c>
      <c r="H104" s="142">
        <f t="shared" si="3"/>
        <v>14.385484722222223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52">
        <f>32651/H64/1000</f>
        <v>4.534861111111111E-2</v>
      </c>
      <c r="H105" s="142">
        <f t="shared" si="3"/>
        <v>14.35465138888889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52">
        <f>756707/H64/1000</f>
        <v>1.0509819444444444</v>
      </c>
      <c r="H106" s="142">
        <f t="shared" si="3"/>
        <v>13.349018055555556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67">
        <f>146664/H64/1000</f>
        <v>0.20369999999999999</v>
      </c>
      <c r="H107" s="145">
        <f t="shared" si="3"/>
        <v>17.696299999999997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F15" sqref="F15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6" customWidth="1"/>
    <col min="8" max="8" width="26.109375" style="4" customWidth="1"/>
    <col min="9" max="16384" width="9.109375" style="1"/>
  </cols>
  <sheetData>
    <row r="1" spans="1:8" x14ac:dyDescent="0.3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3">
      <c r="A2" s="179" t="s">
        <v>1</v>
      </c>
      <c r="B2" s="179"/>
      <c r="C2" s="179"/>
      <c r="D2" s="179"/>
      <c r="E2" s="179"/>
      <c r="F2" s="179"/>
      <c r="G2" s="179"/>
      <c r="H2" s="179"/>
    </row>
    <row r="4" spans="1:8" x14ac:dyDescent="0.3">
      <c r="A4" s="179" t="s">
        <v>2</v>
      </c>
      <c r="B4" s="179"/>
      <c r="C4" s="179"/>
      <c r="D4" s="179"/>
      <c r="E4" s="179"/>
      <c r="F4" s="179"/>
      <c r="G4" s="179"/>
      <c r="H4" s="179"/>
    </row>
    <row r="6" spans="1:8" x14ac:dyDescent="0.3">
      <c r="A6" s="179" t="s">
        <v>3</v>
      </c>
      <c r="B6" s="179"/>
      <c r="C6" s="179"/>
      <c r="D6" s="179"/>
      <c r="E6" s="179"/>
      <c r="F6" s="179"/>
      <c r="G6" s="179"/>
      <c r="H6" s="179"/>
    </row>
    <row r="7" spans="1:8" x14ac:dyDescent="0.3">
      <c r="B7" s="147" t="s">
        <v>311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7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8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8">
        <f>11025/744000</f>
        <v>1.4818548387096774E-2</v>
      </c>
      <c r="H11" s="19">
        <f>F11/1000-G11</f>
        <v>2.4851814516129034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7">
        <f>3050256/744000</f>
        <v>4.0998064516129036</v>
      </c>
      <c r="H12" s="11">
        <f t="shared" ref="H12:H49" si="0">F12/1000-G12</f>
        <v>11.900193548387097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1547700/744000</f>
        <v>2.0802419354838708</v>
      </c>
      <c r="H13" s="19">
        <f t="shared" si="0"/>
        <v>13.919758064516129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9">
        <f>58029/744000</f>
        <v>7.7995967741935485E-2</v>
      </c>
      <c r="H14" s="25">
        <f t="shared" si="0"/>
        <v>9.922004032258064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0">
        <f>30885/744000</f>
        <v>4.1512096774193548E-2</v>
      </c>
      <c r="H15" s="29">
        <f t="shared" si="0"/>
        <v>9.9584879032258069</v>
      </c>
    </row>
    <row r="16" spans="1:8" x14ac:dyDescent="0.3">
      <c r="A16" s="8">
        <v>5</v>
      </c>
      <c r="B16" s="9" t="s">
        <v>24</v>
      </c>
      <c r="C16" s="10" t="s">
        <v>12</v>
      </c>
      <c r="D16" s="153" t="s">
        <v>20</v>
      </c>
      <c r="E16" s="8" t="s">
        <v>21</v>
      </c>
      <c r="F16" s="10">
        <v>40000</v>
      </c>
      <c r="G16" s="157">
        <f>3473976/744000</f>
        <v>4.6693225806451615</v>
      </c>
      <c r="H16" s="33">
        <f t="shared" si="0"/>
        <v>35.330677419354842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(2911552+12160)/720000</f>
        <v>4.0607111111111109</v>
      </c>
      <c r="H17" s="19">
        <f t="shared" si="0"/>
        <v>2.2392888888888889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161">
        <v>0</v>
      </c>
      <c r="H18" s="11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31">
        <f>109380/720000</f>
        <v>0.15191666666666667</v>
      </c>
      <c r="H19" s="36">
        <f t="shared" ref="H19" si="1">F19/1000-G19</f>
        <v>19.848083333333335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142226/720000</f>
        <v>0.19753611111111111</v>
      </c>
      <c r="H20" s="19">
        <f t="shared" si="0"/>
        <v>9.8024638888888891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251580/720000</f>
        <v>0.34941666666666665</v>
      </c>
      <c r="H21" s="36">
        <f t="shared" si="0"/>
        <v>15.650583333333334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20">
        <v>0</v>
      </c>
      <c r="H22" s="19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0">
        <f>62400/720000</f>
        <v>8.666666666666667E-2</v>
      </c>
      <c r="H23" s="29">
        <f t="shared" si="0"/>
        <v>2.4133333333333331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876832/720000</f>
        <v>1.2178222222222221</v>
      </c>
      <c r="H24" s="36">
        <f t="shared" si="0"/>
        <v>5.0821777777777779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v>0</v>
      </c>
      <c r="H25" s="19">
        <f t="shared" si="0"/>
        <v>6.3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161">
        <f>1793310/720000</f>
        <v>2.4907083333333335</v>
      </c>
      <c r="H26" s="36">
        <f t="shared" si="0"/>
        <v>13.509291666666666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20">
        <v>0</v>
      </c>
      <c r="H27" s="19">
        <f t="shared" si="0"/>
        <v>16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0">
        <f>19561/720000</f>
        <v>2.7168055555555556E-2</v>
      </c>
      <c r="H28" s="29">
        <f t="shared" si="0"/>
        <v>2.4728319444444447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0">
        <f>52732/720000</f>
        <v>7.3238888888888895E-2</v>
      </c>
      <c r="H29" s="29">
        <f t="shared" si="0"/>
        <v>2.4267611111111109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31">
        <f>291942/720000</f>
        <v>0.40547499999999997</v>
      </c>
      <c r="H30" s="36" t="s">
        <v>15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6914670/720000</f>
        <v>9.6037083333333335</v>
      </c>
      <c r="H31" s="19">
        <f>F31/1000-G31</f>
        <v>10.396291666666666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1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1285320/720000</f>
        <v>1.7851666666666666</v>
      </c>
      <c r="H33" s="19">
        <f t="shared" si="0"/>
        <v>8.214833333333333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0">
        <f>70688/720000</f>
        <v>9.817777777777778E-2</v>
      </c>
      <c r="H34" s="29">
        <f t="shared" si="0"/>
        <v>6.2018222222222219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7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3" t="s">
        <v>20</v>
      </c>
      <c r="E37" s="8" t="s">
        <v>26</v>
      </c>
      <c r="F37" s="10">
        <v>5600</v>
      </c>
      <c r="G37" s="162">
        <f>208800/720000</f>
        <v>0.28999999999999998</v>
      </c>
      <c r="H37" s="33">
        <f t="shared" si="0"/>
        <v>5.31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>
        <f t="shared" si="0"/>
        <v>5.6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0">
        <f>12457/720000</f>
        <v>1.730138888888889E-2</v>
      </c>
      <c r="H39" s="29">
        <f t="shared" si="0"/>
        <v>0.61269861111111112</v>
      </c>
    </row>
    <row r="40" spans="1:8" x14ac:dyDescent="0.3">
      <c r="A40" s="8">
        <v>19</v>
      </c>
      <c r="B40" s="9" t="s">
        <v>51</v>
      </c>
      <c r="C40" s="10" t="s">
        <v>12</v>
      </c>
      <c r="D40" s="153" t="s">
        <v>20</v>
      </c>
      <c r="E40" s="8" t="s">
        <v>26</v>
      </c>
      <c r="F40" s="10">
        <v>2500</v>
      </c>
      <c r="G40" s="31">
        <f>2135/720000</f>
        <v>2.9652777777777776E-3</v>
      </c>
      <c r="H40" s="36">
        <f t="shared" si="0"/>
        <v>2.4970347222222222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0">
        <f>62552/720000</f>
        <v>8.6877777777777776E-2</v>
      </c>
      <c r="H42" s="29">
        <f t="shared" si="0"/>
        <v>1.5131222222222223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0">
        <f>26735/720000</f>
        <v>3.7131944444444447E-2</v>
      </c>
      <c r="H43" s="29">
        <f t="shared" si="0"/>
        <v>6.2628680555555558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144816/720000</f>
        <v>0.20113333333333333</v>
      </c>
      <c r="H44" s="31">
        <f>F44/1000-G44</f>
        <v>3.7988666666666666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2">
        <v>0</v>
      </c>
      <c r="H46" s="36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135540/720000</f>
        <v>0.18825</v>
      </c>
      <c r="H47" s="20">
        <f>F47/1000-G47</f>
        <v>3.81175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0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0">
        <f>64500/720000</f>
        <v>8.9583333333333334E-2</v>
      </c>
      <c r="H49" s="29">
        <f t="shared" si="0"/>
        <v>0.91041666666666665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0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0" t="s">
        <v>66</v>
      </c>
      <c r="B52" s="180"/>
      <c r="C52" s="180"/>
      <c r="D52" s="180"/>
      <c r="E52" s="180"/>
      <c r="F52" s="180"/>
      <c r="G52" s="180"/>
      <c r="H52" s="180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0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8">
        <f>303461/720000</f>
        <v>0.42147361111111109</v>
      </c>
      <c r="H56" s="155" t="s">
        <v>15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8">
        <f>3308703/720000</f>
        <v>4.5954208333333337</v>
      </c>
      <c r="H57" s="40">
        <f t="shared" ref="H57:H108" si="2">F57-G57</f>
        <v>83.937329166666657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8">
        <f>1871549/720000</f>
        <v>2.599373611111111</v>
      </c>
      <c r="H58" s="40">
        <f t="shared" si="2"/>
        <v>85.933376388888888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8">
        <f>7094201/720000</f>
        <v>9.8530569444444449</v>
      </c>
      <c r="H59" s="40">
        <f t="shared" si="2"/>
        <v>78.679693055555546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8">
        <f>2259554/720000</f>
        <v>3.1382694444444446</v>
      </c>
      <c r="H60" s="40">
        <f t="shared" si="2"/>
        <v>85.394480555555546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8">
        <f>323745/720000</f>
        <v>0.44964583333333336</v>
      </c>
      <c r="H61" s="40">
        <f t="shared" si="2"/>
        <v>88.083104166666658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8">
        <f>3431705/720000</f>
        <v>4.7662569444444447</v>
      </c>
      <c r="H62" s="40">
        <f t="shared" si="2"/>
        <v>70.834743055555549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8">
        <f>11734246/720000</f>
        <v>16.297563888888888</v>
      </c>
      <c r="H63" s="40">
        <f t="shared" si="2"/>
        <v>85.166936111111113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8">
        <f>4486842/720000</f>
        <v>6.231725</v>
      </c>
      <c r="H64" s="72">
        <f t="shared" si="2"/>
        <v>95.232775000000004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f>7314107/720000</f>
        <v>10.158481944444445</v>
      </c>
      <c r="H65" s="72">
        <f t="shared" si="2"/>
        <v>65.442518055555553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98070/720000</f>
        <v>0.13620833333333332</v>
      </c>
      <c r="H66" s="46">
        <f t="shared" si="2"/>
        <v>11.065541666666666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0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2">
        <f>1368063/720000</f>
        <v>1.9000874999999999</v>
      </c>
      <c r="H68" s="151">
        <f t="shared" si="2"/>
        <v>73.700912500000001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8">
        <v>0</v>
      </c>
      <c r="H69" s="155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59">
        <f>12252/720000</f>
        <v>1.7016666666666666E-2</v>
      </c>
      <c r="H70" s="146">
        <f t="shared" si="2"/>
        <v>75.583983333333336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0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2">
        <f>6359810/720000</f>
        <v>8.833069444444444</v>
      </c>
      <c r="H72" s="54">
        <f t="shared" si="2"/>
        <v>92.631430555555553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1945017/720000</f>
        <v>2.7014125</v>
      </c>
      <c r="H73" s="46">
        <f t="shared" si="2"/>
        <v>14.2612375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0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7">
        <f>32512/720000</f>
        <v>4.5155555555555553E-2</v>
      </c>
      <c r="H75" s="39">
        <f t="shared" si="2"/>
        <v>21.078144444444447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8">
        <f>1348935/720000</f>
        <v>1.8735208333333333</v>
      </c>
      <c r="H76" s="40">
        <f t="shared" si="2"/>
        <v>15.089129166666666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158">
        <v>0</v>
      </c>
      <c r="H77" s="155" t="s">
        <v>15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31">
        <f>644/720000</f>
        <v>8.9444444444444445E-4</v>
      </c>
      <c r="H78" s="40">
        <f t="shared" si="2"/>
        <v>16.961755555555555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20">
        <f>69140/720000</f>
        <v>9.6027777777777781E-2</v>
      </c>
      <c r="H79" s="146">
        <f t="shared" si="2"/>
        <v>21.027272222222226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0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0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0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0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0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2">
        <f>23159/720000</f>
        <v>3.2165277777777779E-2</v>
      </c>
      <c r="H85" s="40">
        <f t="shared" si="2"/>
        <v>75.568834722222221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8">
        <f>2488200/720000</f>
        <v>3.4558333333333335</v>
      </c>
      <c r="H86" s="40">
        <f t="shared" si="2"/>
        <v>98.00866666666667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1365945/720000</f>
        <v>1.8971458333333333</v>
      </c>
      <c r="H87" s="46">
        <f t="shared" si="2"/>
        <v>11.544954166666667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0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2">
        <f>1084776/720000</f>
        <v>1.5066333333333333</v>
      </c>
      <c r="H89" s="54">
        <f>F89-G89</f>
        <v>74.094366666666673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1310393/720000</f>
        <v>1.8199902777777779</v>
      </c>
      <c r="H90" s="46">
        <f>F90-G90</f>
        <v>15.142659722222222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0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0">
        <f>100668/720000</f>
        <v>0.13981666666666667</v>
      </c>
      <c r="H92" s="52">
        <f t="shared" si="2"/>
        <v>16.822833333333332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0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0">
        <f>1484203/720000</f>
        <v>2.0613930555555555</v>
      </c>
      <c r="H94" s="52">
        <f t="shared" si="2"/>
        <v>14.901256944444444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0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7">
        <f>3672/720000</f>
        <v>5.1000000000000004E-3</v>
      </c>
      <c r="H96" s="39">
        <f t="shared" si="2"/>
        <v>16.957550000000001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56514/720000</f>
        <v>7.8491666666666668E-2</v>
      </c>
      <c r="H97" s="46">
        <f t="shared" si="2"/>
        <v>21.044808333333336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0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0">
        <f>16203/720000</f>
        <v>2.2504166666666665E-2</v>
      </c>
      <c r="H99" s="52">
        <f t="shared" si="2"/>
        <v>16.940145833333332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0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0">
        <f>142218/720000</f>
        <v>0.19752500000000001</v>
      </c>
      <c r="H101" s="52">
        <f t="shared" si="2"/>
        <v>20.925775000000005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0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7">
        <f>46200/720000</f>
        <v>6.4166666666666664E-2</v>
      </c>
      <c r="H103" s="39">
        <f t="shared" si="2"/>
        <v>16.898483333333335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8">
        <f>203336/720000</f>
        <v>0.28241111111111111</v>
      </c>
      <c r="H104" s="72">
        <f t="shared" si="2"/>
        <v>16.680238888888891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8">
        <f>397782/720000</f>
        <v>0.55247500000000005</v>
      </c>
      <c r="H105" s="72">
        <f t="shared" si="2"/>
        <v>16.410174999999999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0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7">
        <f>162897/720000</f>
        <v>0.22624583333333334</v>
      </c>
      <c r="H107" s="39">
        <f t="shared" si="2"/>
        <v>16.736404166666667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136871/720000</f>
        <v>0.19009861111111112</v>
      </c>
      <c r="H108" s="46">
        <f t="shared" si="2"/>
        <v>24.133701388888891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ноябрь 2024г.</vt:lpstr>
      <vt:lpstr>БЭУ за ноябрь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2024-12-12T10:10:25Z</dcterms:modified>
</cp:coreProperties>
</file>