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октябрь 2024г." sheetId="3" r:id="rId1"/>
    <sheet name="БЭУ за октябрь 2024г." sheetId="3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32" l="1"/>
  <c r="G108" i="32"/>
  <c r="F108" i="32"/>
  <c r="G107" i="32"/>
  <c r="H107" i="32" s="1"/>
  <c r="F107" i="32"/>
  <c r="F105" i="32"/>
  <c r="G104" i="32"/>
  <c r="H104" i="32" s="1"/>
  <c r="F104" i="32"/>
  <c r="G103" i="32"/>
  <c r="F103" i="32"/>
  <c r="H103" i="32" s="1"/>
  <c r="G101" i="32"/>
  <c r="F101" i="32"/>
  <c r="H101" i="32" s="1"/>
  <c r="H99" i="32"/>
  <c r="G99" i="32"/>
  <c r="F99" i="32"/>
  <c r="G97" i="32"/>
  <c r="H97" i="32" s="1"/>
  <c r="F97" i="32"/>
  <c r="G96" i="32"/>
  <c r="F96" i="32"/>
  <c r="H96" i="32" s="1"/>
  <c r="G94" i="32"/>
  <c r="F94" i="32"/>
  <c r="H94" i="32" s="1"/>
  <c r="H92" i="32"/>
  <c r="G92" i="32"/>
  <c r="F92" i="32"/>
  <c r="G90" i="32"/>
  <c r="H90" i="32" s="1"/>
  <c r="F90" i="32"/>
  <c r="G89" i="32"/>
  <c r="F89" i="32"/>
  <c r="H89" i="32" s="1"/>
  <c r="G87" i="32"/>
  <c r="F87" i="32"/>
  <c r="H87" i="32" s="1"/>
  <c r="H86" i="32"/>
  <c r="G86" i="32"/>
  <c r="F86" i="32"/>
  <c r="G85" i="32"/>
  <c r="H85" i="32" s="1"/>
  <c r="F85" i="32"/>
  <c r="F83" i="32"/>
  <c r="F81" i="32"/>
  <c r="H79" i="32"/>
  <c r="G79" i="32"/>
  <c r="F79" i="32"/>
  <c r="G78" i="32"/>
  <c r="H78" i="32" s="1"/>
  <c r="F78" i="32"/>
  <c r="F77" i="32"/>
  <c r="G76" i="32"/>
  <c r="H76" i="32" s="1"/>
  <c r="F76" i="32"/>
  <c r="G75" i="32"/>
  <c r="F75" i="32"/>
  <c r="H75" i="32" s="1"/>
  <c r="G73" i="32"/>
  <c r="F73" i="32"/>
  <c r="H73" i="32" s="1"/>
  <c r="H72" i="32"/>
  <c r="G72" i="32"/>
  <c r="F72" i="32"/>
  <c r="G70" i="32"/>
  <c r="H70" i="32" s="1"/>
  <c r="F70" i="32"/>
  <c r="F69" i="32"/>
  <c r="G68" i="32"/>
  <c r="H68" i="32" s="1"/>
  <c r="F68" i="32"/>
  <c r="G66" i="32"/>
  <c r="F66" i="32"/>
  <c r="H66" i="32" s="1"/>
  <c r="G65" i="32"/>
  <c r="F65" i="32"/>
  <c r="H65" i="32" s="1"/>
  <c r="H64" i="32"/>
  <c r="G64" i="32"/>
  <c r="F64" i="32"/>
  <c r="G63" i="32"/>
  <c r="H63" i="32" s="1"/>
  <c r="F63" i="32"/>
  <c r="G62" i="32"/>
  <c r="F62" i="32"/>
  <c r="H62" i="32" s="1"/>
  <c r="G61" i="32"/>
  <c r="F61" i="32"/>
  <c r="H61" i="32" s="1"/>
  <c r="H60" i="32"/>
  <c r="G60" i="32"/>
  <c r="F60" i="32"/>
  <c r="G59" i="32"/>
  <c r="H59" i="32" s="1"/>
  <c r="F59" i="32"/>
  <c r="G58" i="32"/>
  <c r="F58" i="32"/>
  <c r="H58" i="32" s="1"/>
  <c r="G57" i="32"/>
  <c r="F57" i="32"/>
  <c r="H57" i="32" s="1"/>
  <c r="F56" i="32"/>
  <c r="G49" i="32"/>
  <c r="H49" i="32" s="1"/>
  <c r="G47" i="32"/>
  <c r="H47" i="32" s="1"/>
  <c r="G44" i="32"/>
  <c r="H44" i="32" s="1"/>
  <c r="G43" i="32"/>
  <c r="H43" i="32" s="1"/>
  <c r="G42" i="32"/>
  <c r="H42" i="32" s="1"/>
  <c r="G40" i="32"/>
  <c r="H40" i="32" s="1"/>
  <c r="G39" i="32"/>
  <c r="H39" i="32" s="1"/>
  <c r="G38" i="32"/>
  <c r="H38" i="32" s="1"/>
  <c r="G37" i="32"/>
  <c r="H37" i="32" s="1"/>
  <c r="G34" i="32"/>
  <c r="H34" i="32" s="1"/>
  <c r="G33" i="32"/>
  <c r="H33" i="32" s="1"/>
  <c r="G31" i="32"/>
  <c r="H31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1" i="32"/>
  <c r="H21" i="32" s="1"/>
  <c r="G20" i="32"/>
  <c r="H20" i="32" s="1"/>
  <c r="G19" i="32"/>
  <c r="H19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87" i="3" l="1"/>
  <c r="G28" i="3"/>
  <c r="G90" i="3"/>
  <c r="G26" i="3"/>
  <c r="G107" i="3"/>
  <c r="G106" i="3"/>
  <c r="G105" i="3"/>
  <c r="G104" i="3"/>
  <c r="G24" i="3"/>
  <c r="G43" i="3"/>
  <c r="G21" i="3"/>
  <c r="G20" i="3"/>
  <c r="G96" i="3"/>
  <c r="G100" i="3"/>
  <c r="G99" i="3"/>
  <c r="G98" i="3"/>
  <c r="G94" i="3"/>
  <c r="G92" i="3"/>
  <c r="G23" i="3"/>
  <c r="G22" i="3"/>
  <c r="G93" i="3"/>
  <c r="G15" i="3"/>
  <c r="G102" i="3"/>
  <c r="G30" i="3"/>
  <c r="G19" i="3"/>
  <c r="G18" i="3"/>
  <c r="G17" i="3"/>
  <c r="G16" i="3"/>
  <c r="G69" i="3" l="1"/>
  <c r="G68" i="3"/>
  <c r="G85" i="3"/>
  <c r="G84" i="3"/>
  <c r="G53" i="3"/>
  <c r="G52" i="3"/>
  <c r="G51" i="3"/>
  <c r="G49" i="3"/>
  <c r="G45" i="3"/>
  <c r="G46" i="3"/>
  <c r="G47" i="3"/>
  <c r="G39" i="3"/>
  <c r="G38" i="3"/>
  <c r="G82" i="3"/>
  <c r="G81" i="3"/>
  <c r="G80" i="3"/>
  <c r="G37" i="3"/>
  <c r="G36" i="3"/>
  <c r="G66" i="3"/>
  <c r="G65" i="3"/>
  <c r="G13" i="3"/>
  <c r="G12" i="3"/>
  <c r="G78" i="3"/>
  <c r="G77" i="3"/>
  <c r="G76" i="3"/>
  <c r="G75" i="3"/>
  <c r="G74" i="3"/>
  <c r="G73" i="3"/>
  <c r="G72" i="3"/>
  <c r="G71" i="3"/>
  <c r="G35" i="3"/>
  <c r="G34" i="3"/>
  <c r="G50" i="3" l="1"/>
  <c r="H64" i="3" l="1"/>
  <c r="H51" i="3" l="1"/>
  <c r="G59" i="3" l="1"/>
  <c r="H35" i="3" l="1"/>
  <c r="G48" i="3" l="1"/>
  <c r="N47" i="3" l="1"/>
  <c r="N46" i="3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<sst xmlns="http://schemas.openxmlformats.org/spreadsheetml/2006/main" count="494" uniqueCount="312">
  <si>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</si>
  <si>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</si>
  <si>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</si>
  <si>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</si>
  <si>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</si>
  <si>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</si>
  <si>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</si>
  <si>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</si>
  <si>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</si>
  <si>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</si>
  <si>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</si>
  <si>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</si>
  <si>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</si>
  <si>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</si>
  <si>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</si>
  <si>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</si>
  <si>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</si>
  <si>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</si>
  <si>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</si>
  <si>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</si>
  <si>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</si>
  <si>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</si>
  <si>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</si>
  <si>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</si>
  <si>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</si>
  <si>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</si>
  <si>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</si>
  <si>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</si>
  <si>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</si>
  <si>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</si>
  <si>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</si>
  <si>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</si>
  <si>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</si>
  <si>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</si>
  <si>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</si>
  <si>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</si>
  <si>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</si>
  <si>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</si>
  <si>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</si>
  <si>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</si>
  <si>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</si>
  <si>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</si>
  <si>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</si>
  <si>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</si>
  <si>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</si>
  <si>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</si>
  <si>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</si>
  <si>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</si>
  <si>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</si>
  <si>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</si>
  <si>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</si>
  <si>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</si>
  <si>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</si>
  <si>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</si>
  <si>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</si>
  <si>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</si>
  <si>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</si>
  <si>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</si>
  <si>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</si>
  <si>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</si>
  <si>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</si>
  <si>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</si>
  <si>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</si>
  <si>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</si>
  <si>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</si>
  <si>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</si>
  <si>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</si>
  <si>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</si>
  <si>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</si>
  <si>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</si>
  <si>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</si>
  <si>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</si>
  <si>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</si>
  <si>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</si>
  <si>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</si>
  <si>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</si>
  <si>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</si>
  <si>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</si>
  <si>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</si>
  <si>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</si>
  <si>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</si>
  <si>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</si>
  <si>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</si>
  <si>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</si>
  <si>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</si>
  <si>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</si>
  <si>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</si>
  <si>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</si>
  <si>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</si>
  <si>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</si>
  <si>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</si>
  <si>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</si>
  <si>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</si>
  <si>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</si>
  <si>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</si>
  <si>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</si>
  <si>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</si>
  <si>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</si>
  <si>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</si>
  <si>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</si>
  <si>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</si>
  <si>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</si>
  <si>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</si>
  <si>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</si>
  <si>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</si>
  <si>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</si>
  <si>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</si>
  <si>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</si>
  <si>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</si>
  <si>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</si>
  <si>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</si>
  <si>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</si>
  <si>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</si>
  <si>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</si>
  <si>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</si>
  <si>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</si>
  <si>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</si>
  <si>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</si>
  <si>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</si>
  <si>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</si>
  <si>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</si>
  <si>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</si>
  <si>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</si>
  <si>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</si>
  <si>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</si>
  <si>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</si>
  <si>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</si>
  <si>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</si>
  <si>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</si>
  <si>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</si>
  <si>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</si>
  <si>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</si>
  <si>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</si>
  <si>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</si>
  <si>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</si>
  <si>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</si>
  <si>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</si>
  <si>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</si>
  <si>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</si>
  <si>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</si>
  <si>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</si>
  <si>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</si>
  <si>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</si>
  <si>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</si>
  <si>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</si>
  <si>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</si>
  <si>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</si>
  <si>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</si>
  <si>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</si>
  <si>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</si>
  <si>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</si>
  <si>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</si>
  <si>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</si>
  <si>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</si>
  <si>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</si>
  <si>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</si>
  <si>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</si>
  <si>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</si>
  <si>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</si>
  <si>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</si>
  <si>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</si>
  <si>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</si>
  <si>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</si>
  <si>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</si>
  <si>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</si>
  <si>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</si>
  <si>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</si>
  <si>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</si>
  <si>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</si>
  <si>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</si>
  <si>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</si>
  <si>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</si>
  <si>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</si>
  <si>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</si>
  <si>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</si>
  <si>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</si>
  <si>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</si>
  <si>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</si>
  <si>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</si>
  <si>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</si>
  <si>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</si>
  <si>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</si>
  <si>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</si>
  <si>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</si>
  <si>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</si>
  <si>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</si>
  <si>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</si>
  <si>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</si>
  <si>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</si>
  <si>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</si>
  <si>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</si>
  <si>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</si>
  <si>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</si>
  <si>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</si>
  <si>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</si>
  <si>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</si>
  <si>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</si>
  <si>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</si>
  <si>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</si>
  <si>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</si>
  <si>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</si>
  <si>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</si>
  <si>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</si>
  <si>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</si>
  <si>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</si>
  <si>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</si>
  <si>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</si>
  <si>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</si>
  <si>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</si>
  <si>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</si>
  <si>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</si>
  <si>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</si>
  <si>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</si>
  <si>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</si>
  <si>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</si>
  <si>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</si>
  <si>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</si>
  <si>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</si>
  <si>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</si>
  <si>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</si>
  <si>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</si>
  <si>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</si>
  <si>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</si>
  <si>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</si>
  <si>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</si>
  <si>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</si>
  <si>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</si>
  <si>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</si>
  <si>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</si>
  <si>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</si>
  <si>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</si>
  <si>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</si>
  <si>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</si>
  <si>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</si>
  <si>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</si>
  <si>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</si>
  <si>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</si>
  <si>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</si>
  <si>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</si>
  <si>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</si>
  <si>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</si>
  <si>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</si>
  <si>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</si>
  <si>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</si>
  <si>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</si>
  <si>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</si>
  <si>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</si>
  <si>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</si>
  <si>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</si>
  <si>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</si>
  <si>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</si>
  <si>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</si>
  <si>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</si>
  <si>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</si>
  <si>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</si>
  <si>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</si>
  <si>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</si>
  <si>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</si>
  <si>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</si>
  <si>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</si>
  <si>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</si>
  <si>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</si>
  <si>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</si>
  <si>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</si>
  <si>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</si>
  <si>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</si>
  <si>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</si>
  <si>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</si>
  <si>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</si>
  <si>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</si>
  <si>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</si>
  <si>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</si>
  <si>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</si>
  <si>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</si>
  <si>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</si>
  <si>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</si>
  <si>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</si>
  <si>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</si>
  <si>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</si>
  <si>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</si>
  <si>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</si>
  <si>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</si>
  <si>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</si>
  <si>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</si>
  <si>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</si>
  <si>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</si>
  <si>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</si>
  <si>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</si>
  <si>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</si>
  <si>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</si>
  <si>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</si>
  <si>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</si>
  <si>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</si>
  <si>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</si>
  <si>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</si>
  <si>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</si>
  <si>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</si>
  <si>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</si>
  <si>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</si>
  <si>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</si>
  <si>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</si>
  <si>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</si>
  <si>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</si>
  <si>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</si>
  <si>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</si>
  <si>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</si>
  <si>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</si>
  <si>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</si>
  <si>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</si>
  <si>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</si>
  <si>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октябрь 2024г.</t>
  </si>
  <si>
    <t>Октябрь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</si>
</sst>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9" fontId="4" fillId="3" borderId="24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zoomScale="85" zoomScaleNormal="85" zoomScaleSheetLayoutView="135" workbookViewId="0">
      <selection activeCell="G87" sqref="G87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7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7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8" t="s">
        <v>310</v>
      </c>
      <c r="H5" s="178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9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80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744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52">
        <f>(8493540+199860)/H9/1000</f>
        <v>11.68467741935484</v>
      </c>
      <c r="H12" s="108">
        <f>F12/1000-G12</f>
        <v>51.315322580645159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52">
        <f>(8625144+105870)/H9/1000</f>
        <v>11.735233870967743</v>
      </c>
      <c r="H13" s="108">
        <f>F13/1000-G13</f>
        <v>51.264766129032253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52">
        <f>371052/H9/1000</f>
        <v>0.49872580645161291</v>
      </c>
      <c r="H15" s="108">
        <f t="shared" ref="H15:H21" si="0">F15/1000-G15</f>
        <v>5.8012741935483874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52">
        <f>377208/H9/1000</f>
        <v>0.50700000000000001</v>
      </c>
      <c r="H16" s="108">
        <f t="shared" si="0"/>
        <v>15.493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52">
        <f>152466/H9/1000</f>
        <v>0.20492741935483871</v>
      </c>
      <c r="H17" s="108">
        <f t="shared" si="0"/>
        <v>15.795072580645162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52">
        <f>293472/H9/1000</f>
        <v>0.39445161290322578</v>
      </c>
      <c r="H18" s="108">
        <f t="shared" si="0"/>
        <v>15.605548387096775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52">
        <f>313488/H9/1000</f>
        <v>0.42135483870967744</v>
      </c>
      <c r="H19" s="108">
        <f t="shared" si="0"/>
        <v>15.578645161290323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52">
        <f>2293280/H9/1000</f>
        <v>3.0823655913978496</v>
      </c>
      <c r="H20" s="108">
        <f t="shared" si="0"/>
        <v>36.917634408602147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52">
        <f>791560/H9/1000</f>
        <v>1.0639247311827957</v>
      </c>
      <c r="H21" s="108">
        <f t="shared" si="0"/>
        <v>38.936075268817206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52">
        <f>(406120+210938-989835)/H9/1000</f>
        <v>-0.50104435483870968</v>
      </c>
      <c r="H22" s="108">
        <f>F22/1000-G22</f>
        <v>10.50104435483871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52">
        <f>(0+66290-21)/H9/1000</f>
        <v>8.9071236559139788E-2</v>
      </c>
      <c r="H23" s="108">
        <f>F23/1000-G23</f>
        <v>2.41092876344086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52">
        <f>(607002)/H9/1000</f>
        <v>0.81586290322580646</v>
      </c>
      <c r="H24" s="108">
        <f>F24/1000-G24</f>
        <v>5.4841370967741936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52">
        <f>112658/H9/1000</f>
        <v>0.15142204301075271</v>
      </c>
      <c r="H26" s="108">
        <f>F26/1000-G26</f>
        <v>0.84857795698924732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52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52">
        <f>23008/H9/1000</f>
        <v>3.0924731182795699E-2</v>
      </c>
      <c r="H28" s="108">
        <f>F28/1000-G28</f>
        <v>0.96907526881720429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52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52">
        <f>64596/H9/1000</f>
        <v>8.6822580645161296E-2</v>
      </c>
      <c r="H30" s="108">
        <f>F30/1000-G30</f>
        <v>6.2131774193548388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52">
        <f>(10094568)/H9/1000</f>
        <v>13.567967741935483</v>
      </c>
      <c r="H34" s="108">
        <f>F34/1000-G34</f>
        <v>11.432032258064517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52">
        <f>(15532440)/H9/1000</f>
        <v>20.876935483870966</v>
      </c>
      <c r="H35" s="108">
        <f>F35/1000-G35</f>
        <v>4.123064516129034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52">
        <f>3529416/H9/1000</f>
        <v>4.7438387096774193</v>
      </c>
      <c r="H36" s="108">
        <f t="shared" ref="H36:H41" si="1">F36/1000-G36</f>
        <v>35.256161290322581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52">
        <f>2776752/H9/1000</f>
        <v>3.7321935483870967</v>
      </c>
      <c r="H37" s="108">
        <f t="shared" si="1"/>
        <v>36.267806451612906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52">
        <f>6217904/H9/1000</f>
        <v>8.357397849462366</v>
      </c>
      <c r="H38" s="108">
        <f t="shared" si="1"/>
        <v>11.642602150537634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52">
        <f>2896784/H9/1000</f>
        <v>3.89352688172043</v>
      </c>
      <c r="H39" s="108">
        <f t="shared" si="1"/>
        <v>16.10647311827957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52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52">
        <f>21/H9/1000</f>
        <v>2.8225806451612902E-5</v>
      </c>
      <c r="H41" s="108">
        <f t="shared" si="1"/>
        <v>9.9999717741935488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52">
        <f>216040/H9/1000</f>
        <v>0.29037634408602153</v>
      </c>
      <c r="H43" s="108">
        <f>F43/1000-G43</f>
        <v>6.0096236559139786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52">
        <f>1059744/H9/1000</f>
        <v>1.4243870967741936</v>
      </c>
      <c r="H45" s="108">
        <f>F45/1000-G45</f>
        <v>4.8756129032258064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52">
        <f>7746/H9/1000</f>
        <v>1.0411290322580646E-2</v>
      </c>
      <c r="H46" s="108">
        <f t="shared" ref="H46:H53" si="2">F46/1000-G46</f>
        <v>2.4895887096774194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52">
        <f>340171/H9/1000</f>
        <v>0.45721908602150541</v>
      </c>
      <c r="H47" s="108">
        <f t="shared" si="2"/>
        <v>5.8427809139784941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52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52">
        <f>430200/H9/1000</f>
        <v>0.57822580645161292</v>
      </c>
      <c r="H49" s="108">
        <f t="shared" si="2"/>
        <v>1.9217741935483872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52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52">
        <f>1146705/H9/1000</f>
        <v>1.5412701612903226</v>
      </c>
      <c r="H51" s="108">
        <f>F51/1000-G51</f>
        <v>5.8729838709677518E-2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52">
        <f>(10632)/H9/1000</f>
        <v>1.4290322580645162E-2</v>
      </c>
      <c r="H52" s="108">
        <f t="shared" si="2"/>
        <v>0.23570967741935483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74">
        <f>(13680)/H9/1000</f>
        <v>1.8387096774193548E-2</v>
      </c>
      <c r="H53" s="118">
        <f t="shared" si="2"/>
        <v>0.61161290322580641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81" t="s">
        <v>231</v>
      </c>
      <c r="H57" s="181"/>
    </row>
    <row r="58" spans="1:14" x14ac:dyDescent="0.3">
      <c r="B58" s="182" t="s">
        <v>232</v>
      </c>
      <c r="C58" s="183"/>
      <c r="D58" s="183"/>
      <c r="E58" s="183"/>
      <c r="F58" s="183"/>
      <c r="G58" s="183"/>
      <c r="H58" s="183"/>
    </row>
    <row r="59" spans="1:14" ht="18" x14ac:dyDescent="0.35">
      <c r="B59" s="124"/>
      <c r="C59" s="125"/>
      <c r="D59" s="124" t="s">
        <v>233</v>
      </c>
      <c r="E59" s="121"/>
      <c r="G59" s="184" t="str">
        <f>G5</f>
        <v>за октябрь 2024г.</v>
      </c>
      <c r="H59" s="184"/>
    </row>
    <row r="60" spans="1:14" x14ac:dyDescent="0.3">
      <c r="A60" s="175" t="s">
        <v>139</v>
      </c>
      <c r="B60" s="175" t="s">
        <v>234</v>
      </c>
      <c r="C60" s="126" t="s">
        <v>235</v>
      </c>
      <c r="D60" s="175" t="s">
        <v>236</v>
      </c>
      <c r="E60" s="126" t="s">
        <v>237</v>
      </c>
      <c r="F60" s="127" t="s">
        <v>238</v>
      </c>
      <c r="G60" s="175" t="s">
        <v>239</v>
      </c>
      <c r="H60" s="128" t="s">
        <v>240</v>
      </c>
    </row>
    <row r="61" spans="1:14" x14ac:dyDescent="0.3">
      <c r="A61" s="176"/>
      <c r="B61" s="176"/>
      <c r="C61" s="129" t="s">
        <v>241</v>
      </c>
      <c r="D61" s="176"/>
      <c r="E61" s="129" t="s">
        <v>242</v>
      </c>
      <c r="F61" s="130" t="s">
        <v>243</v>
      </c>
      <c r="G61" s="177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744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52">
        <f>3664056/H64/1000</f>
        <v>4.9248064516129038</v>
      </c>
      <c r="H65" s="142">
        <f>F65-G65</f>
        <v>51.575193548387098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52">
        <f>4945050/H64/1000</f>
        <v>6.6465725806451612</v>
      </c>
      <c r="H66" s="142">
        <f t="shared" ref="H66:H107" si="3">F66-G66</f>
        <v>49.853427419354837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52">
        <f>(6424000-1775000)/H64/1000</f>
        <v>6.248655913978495</v>
      </c>
      <c r="H68" s="142">
        <f t="shared" si="3"/>
        <v>50.251344086021504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52">
        <f>(7205000-2215000)/H64/1000</f>
        <v>6.706989247311828</v>
      </c>
      <c r="H69" s="142">
        <f t="shared" si="3"/>
        <v>49.793010752688176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52">
        <f>81767/H64/1000</f>
        <v>0.10990188172043011</v>
      </c>
      <c r="H71" s="142">
        <f t="shared" si="3"/>
        <v>11.29009811827957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52">
        <f>42980/H64/1000</f>
        <v>5.7768817204301069E-2</v>
      </c>
      <c r="H72" s="142">
        <f t="shared" si="3"/>
        <v>14.342231182795699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52">
        <f>446821/H64/1000</f>
        <v>0.60056586021505387</v>
      </c>
      <c r="H73" s="142">
        <f t="shared" si="3"/>
        <v>10.799434139784946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52">
        <f>1171247/H64/1000</f>
        <v>1.5742567204301077</v>
      </c>
      <c r="H74" s="142">
        <f t="shared" si="3"/>
        <v>16.325743279569892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52">
        <f>781809/H64/1000</f>
        <v>1.0508185483870969</v>
      </c>
      <c r="H75" s="142">
        <f t="shared" si="3"/>
        <v>16.849181451612903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52">
        <f>0/H64/1000</f>
        <v>0</v>
      </c>
      <c r="H76" s="142">
        <f t="shared" si="3"/>
        <v>17.899999999999999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52">
        <f>236471/H64/1000</f>
        <v>0.3178373655913978</v>
      </c>
      <c r="H77" s="142">
        <f t="shared" si="3"/>
        <v>17.582162634408601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52">
        <f>224532/H64/1000</f>
        <v>0.3017903225806452</v>
      </c>
      <c r="H78" s="142">
        <f t="shared" si="3"/>
        <v>17.598209677419355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52">
        <f>230643/H64/1000</f>
        <v>0.3100040322580645</v>
      </c>
      <c r="H80" s="142">
        <f t="shared" si="3"/>
        <v>9.1899959677419361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52">
        <f>66836/H64/1000</f>
        <v>8.9833333333333334E-2</v>
      </c>
      <c r="H81" s="142">
        <f t="shared" si="3"/>
        <v>9.410166666666667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52">
        <f>273259/H64/1000</f>
        <v>0.36728360215053768</v>
      </c>
      <c r="H82" s="142">
        <f t="shared" si="3"/>
        <v>11.032716397849462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52">
        <f>75432/H64/1000</f>
        <v>0.10138709677419355</v>
      </c>
      <c r="H84" s="142">
        <f t="shared" si="3"/>
        <v>20.598612903225806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52">
        <f>1491819/H64/1000</f>
        <v>2.0051330645161292</v>
      </c>
      <c r="H85" s="142">
        <f t="shared" si="3"/>
        <v>18.694866935483869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52">
        <f>294425/H64/1000</f>
        <v>0.39573252688172045</v>
      </c>
      <c r="H87" s="142">
        <f t="shared" si="3"/>
        <v>11.004267473118279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52">
        <f>168174/H64/1000</f>
        <v>0.22604032258064516</v>
      </c>
      <c r="H90" s="142">
        <f t="shared" si="3"/>
        <v>14.173959677419354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52">
        <f>1223846/H64/1000</f>
        <v>1.644954301075269</v>
      </c>
      <c r="H92" s="142">
        <f t="shared" si="3"/>
        <v>54.855045698924734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52">
        <f>3391202/H64/1000</f>
        <v>4.558067204301075</v>
      </c>
      <c r="H93" s="142">
        <f t="shared" si="3"/>
        <v>60.441932795698925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52">
        <f>969855/H64/1000</f>
        <v>1.3035685483870969</v>
      </c>
      <c r="H94" s="142">
        <f t="shared" si="3"/>
        <v>10.096431451612904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52">
        <f>337176/H64/1000</f>
        <v>0.45319354838709675</v>
      </c>
      <c r="H96" s="142">
        <f t="shared" si="3"/>
        <v>10.946806451612904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52">
        <f>55797/H64/1000</f>
        <v>7.4995967741935482E-2</v>
      </c>
      <c r="H98" s="142">
        <f t="shared" si="3"/>
        <v>56.425004032258066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52">
        <f>(650166)/H64/1000</f>
        <v>0.87387903225806451</v>
      </c>
      <c r="H99" s="142">
        <f t="shared" si="3"/>
        <v>55.626120967741933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52">
        <f>166677/H64/1000</f>
        <v>0.22402822580645163</v>
      </c>
      <c r="H100" s="142">
        <f t="shared" si="3"/>
        <v>11.175971774193549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52">
        <f>3013/H64/1000</f>
        <v>4.0497311827956987E-3</v>
      </c>
      <c r="H102" s="142">
        <f t="shared" si="3"/>
        <v>17.895950268817202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52">
        <f>-132310/H64/1000</f>
        <v>-0.17783602150537636</v>
      </c>
      <c r="H104" s="142">
        <f t="shared" si="3"/>
        <v>14.577836021505377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52">
        <f>30863/H64/1000</f>
        <v>4.1482526881720432E-2</v>
      </c>
      <c r="H105" s="142">
        <f t="shared" si="3"/>
        <v>14.35851747311828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52">
        <f>576996/H64/1000</f>
        <v>0.77553225806451609</v>
      </c>
      <c r="H106" s="142">
        <f t="shared" si="3"/>
        <v>13.624467741935485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74">
        <f>109242/H64/1000</f>
        <v>0.14683064516129032</v>
      </c>
      <c r="H107" s="145">
        <f t="shared" si="3"/>
        <v>17.753169354838708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N14" sqref="N14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85" t="s">
        <v>0</v>
      </c>
      <c r="B1" s="185"/>
      <c r="C1" s="185"/>
      <c r="D1" s="185"/>
      <c r="E1" s="185"/>
      <c r="F1" s="185"/>
      <c r="G1" s="185"/>
      <c r="H1" s="185"/>
    </row>
    <row r="2" spans="1:8" x14ac:dyDescent="0.3">
      <c r="A2" s="185" t="s">
        <v>1</v>
      </c>
      <c r="B2" s="185"/>
      <c r="C2" s="185"/>
      <c r="D2" s="185"/>
      <c r="E2" s="185"/>
      <c r="F2" s="185"/>
      <c r="G2" s="185"/>
      <c r="H2" s="185"/>
    </row>
    <row r="4" spans="1:8" x14ac:dyDescent="0.3">
      <c r="A4" s="185" t="s">
        <v>2</v>
      </c>
      <c r="B4" s="185"/>
      <c r="C4" s="185"/>
      <c r="D4" s="185"/>
      <c r="E4" s="185"/>
      <c r="F4" s="185"/>
      <c r="G4" s="185"/>
      <c r="H4" s="185"/>
    </row>
    <row r="6" spans="1:8" x14ac:dyDescent="0.3">
      <c r="A6" s="185" t="s">
        <v>3</v>
      </c>
      <c r="B6" s="185"/>
      <c r="C6" s="185"/>
      <c r="D6" s="185"/>
      <c r="E6" s="185"/>
      <c r="F6" s="185"/>
      <c r="G6" s="185"/>
      <c r="H6" s="185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168">
        <v>1</v>
      </c>
      <c r="B9" s="169" t="s">
        <v>11</v>
      </c>
      <c r="C9" s="170" t="s">
        <v>12</v>
      </c>
      <c r="D9" s="170" t="s">
        <v>13</v>
      </c>
      <c r="E9" s="168" t="s">
        <v>14</v>
      </c>
      <c r="F9" s="170">
        <v>25000</v>
      </c>
      <c r="G9" s="157">
        <v>0</v>
      </c>
      <c r="H9" s="11" t="s">
        <v>15</v>
      </c>
    </row>
    <row r="10" spans="1:8" x14ac:dyDescent="0.3">
      <c r="A10" s="171"/>
      <c r="B10" s="172"/>
      <c r="C10" s="173" t="s">
        <v>16</v>
      </c>
      <c r="D10" s="173" t="s">
        <v>13</v>
      </c>
      <c r="E10" s="171" t="s">
        <v>14</v>
      </c>
      <c r="F10" s="173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11025/744000</f>
        <v>1.4818548387096774E-2</v>
      </c>
      <c r="H11" s="19">
        <f>F11/1000-G11</f>
        <v>2.4851814516129034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3050256/744000</f>
        <v>4.0998064516129036</v>
      </c>
      <c r="H12" s="11">
        <f t="shared" ref="H12:H49" si="0">F12/1000-G12</f>
        <v>11.900193548387097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1547700/744000</f>
        <v>2.0802419354838708</v>
      </c>
      <c r="H13" s="19">
        <f t="shared" si="0"/>
        <v>13.919758064516129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58029/744000</f>
        <v>7.7995967741935485E-2</v>
      </c>
      <c r="H14" s="25">
        <f t="shared" si="0"/>
        <v>9.922004032258064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30885/744000</f>
        <v>4.1512096774193548E-2</v>
      </c>
      <c r="H15" s="29">
        <f t="shared" si="0"/>
        <v>9.9584879032258069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2555432/744000</f>
        <v>3.4347204301075269</v>
      </c>
      <c r="H16" s="33">
        <f t="shared" si="0"/>
        <v>36.565279569892475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(2476936+5560)/744000</f>
        <v>3.3366881720430106</v>
      </c>
      <c r="H17" s="19">
        <f t="shared" si="0"/>
        <v>2.9633118279569892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161">
        <v>0</v>
      </c>
      <c r="H18" s="11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31">
        <f>75900/744000</f>
        <v>0.10201612903225807</v>
      </c>
      <c r="H19" s="36">
        <f t="shared" ref="H19" si="1">F19/1000-G19</f>
        <v>19.897983870967742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146034/744000</f>
        <v>0.19628225806451613</v>
      </c>
      <c r="H20" s="19">
        <f t="shared" si="0"/>
        <v>9.8037177419354844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140130/744000</f>
        <v>0.18834677419354839</v>
      </c>
      <c r="H21" s="36">
        <f t="shared" si="0"/>
        <v>15.811653225806452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20">
        <v>0</v>
      </c>
      <c r="H22" s="19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52800/744000</f>
        <v>7.0967741935483872E-2</v>
      </c>
      <c r="H23" s="29">
        <f t="shared" si="0"/>
        <v>2.4290322580645163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f>566240/744000</f>
        <v>0.76107526881720433</v>
      </c>
      <c r="H24" s="36">
        <f t="shared" si="0"/>
        <v>5.5389247311827958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133356/744000</f>
        <v>0.17924193548387096</v>
      </c>
      <c r="H25" s="19">
        <f t="shared" si="0"/>
        <v>6.1207580645161288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340320/744000</f>
        <v>0.45741935483870966</v>
      </c>
      <c r="H26" s="36">
        <f t="shared" si="0"/>
        <v>15.542580645161291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20">
        <f>902640/744000</f>
        <v>1.2132258064516128</v>
      </c>
      <c r="H27" s="19">
        <f t="shared" si="0"/>
        <v>14.786774193548387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16640/744000</f>
        <v>2.2365591397849462E-2</v>
      </c>
      <c r="H28" s="29">
        <f t="shared" si="0"/>
        <v>2.4776344086021505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40948/744000</f>
        <v>5.5037634408602147E-2</v>
      </c>
      <c r="H29" s="29">
        <f t="shared" si="0"/>
        <v>2.4449623655913979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v>0</v>
      </c>
      <c r="H30" s="36" t="s">
        <v>15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6932772/744000</f>
        <v>9.3182419354838704</v>
      </c>
      <c r="H31" s="19">
        <f>F31/1000-G31</f>
        <v>10.68175806451613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939468/744000</f>
        <v>1.2627258064516129</v>
      </c>
      <c r="H33" s="19">
        <f t="shared" si="0"/>
        <v>8.7372741935483873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100356/744000</f>
        <v>0.13488709677419355</v>
      </c>
      <c r="H34" s="29">
        <f t="shared" si="0"/>
        <v>6.1651129032258059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6672/744000</f>
        <v>8.9677419354838705E-3</v>
      </c>
      <c r="H37" s="33">
        <f t="shared" si="0"/>
        <v>5.5910322580645158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f>99920/744000</f>
        <v>0.13430107526881721</v>
      </c>
      <c r="H38" s="19">
        <f t="shared" si="0"/>
        <v>5.465698924731182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12457/744000</f>
        <v>1.6743279569892473E-2</v>
      </c>
      <c r="H39" s="29">
        <f t="shared" si="0"/>
        <v>0.61325672043010748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1482/744000</f>
        <v>1.9919354838709678E-3</v>
      </c>
      <c r="H40" s="36">
        <f t="shared" si="0"/>
        <v>2.4980080645161289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62552/744000</f>
        <v>8.4075268817204299E-2</v>
      </c>
      <c r="H42" s="29">
        <f t="shared" si="0"/>
        <v>1.5159247311827957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75416/744000</f>
        <v>0.10136559139784947</v>
      </c>
      <c r="H43" s="29">
        <f t="shared" si="0"/>
        <v>6.1986344086021505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121331/744000</f>
        <v>0.16307930107526883</v>
      </c>
      <c r="H44" s="31">
        <f>F44/1000-G44</f>
        <v>3.8369206989247311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v>0</v>
      </c>
      <c r="H46" s="36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137040/744000</f>
        <v>0.18419354838709678</v>
      </c>
      <c r="H47" s="20">
        <f>F47/1000-G47</f>
        <v>3.8158064516129033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61439/744000</f>
        <v>8.2579301075268813E-2</v>
      </c>
      <c r="H49" s="29">
        <f t="shared" si="0"/>
        <v>0.91742069892473121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6" t="s">
        <v>66</v>
      </c>
      <c r="B52" s="186"/>
      <c r="C52" s="186"/>
      <c r="D52" s="186"/>
      <c r="E52" s="186"/>
      <c r="F52" s="186"/>
      <c r="G52" s="186"/>
      <c r="H52" s="186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v>0</v>
      </c>
      <c r="H56" s="155" t="s">
        <v>15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3084250/744000</f>
        <v>4.145497311827957</v>
      </c>
      <c r="H57" s="40">
        <f t="shared" ref="H57:H108" si="2">F57-G57</f>
        <v>84.38725268817204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1146442/744000</f>
        <v>1.5409166666666667</v>
      </c>
      <c r="H58" s="40">
        <f t="shared" si="2"/>
        <v>86.991833333333332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6141595/744000</f>
        <v>8.254831989247311</v>
      </c>
      <c r="H59" s="40">
        <f t="shared" si="2"/>
        <v>80.277918010752686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2337247/744000</f>
        <v>3.1414610215053762</v>
      </c>
      <c r="H60" s="40">
        <f t="shared" si="2"/>
        <v>85.391288978494615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305514/744000</f>
        <v>0.41063709677419352</v>
      </c>
      <c r="H61" s="40">
        <f t="shared" si="2"/>
        <v>88.122112903225798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3607771/744000</f>
        <v>4.8491545698924732</v>
      </c>
      <c r="H62" s="40">
        <f t="shared" si="2"/>
        <v>70.751845430107522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9659546/744000</f>
        <v>12.983260752688173</v>
      </c>
      <c r="H63" s="40">
        <f t="shared" si="2"/>
        <v>88.481239247311834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2805247/744000</f>
        <v>3.7704932795698927</v>
      </c>
      <c r="H64" s="72">
        <f t="shared" si="2"/>
        <v>97.69400672043011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7093726/744000</f>
        <v>9.5345779569892475</v>
      </c>
      <c r="H65" s="72">
        <f t="shared" si="2"/>
        <v>66.066422043010746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97514/744000</f>
        <v>0.13106720430107527</v>
      </c>
      <c r="H66" s="46">
        <f t="shared" si="2"/>
        <v>11.070682795698925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142076/744000</f>
        <v>0.19096236559139784</v>
      </c>
      <c r="H68" s="151">
        <f t="shared" si="2"/>
        <v>75.410037634408596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116358/744000</f>
        <v>0.15639516129032258</v>
      </c>
      <c r="H70" s="146">
        <f t="shared" si="2"/>
        <v>75.444604838709679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6546227/744000</f>
        <v>8.7986922043010747</v>
      </c>
      <c r="H72" s="54">
        <f t="shared" si="2"/>
        <v>92.665807795698925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1640742/744000</f>
        <v>2.2052983870967742</v>
      </c>
      <c r="H73" s="46">
        <f t="shared" si="2"/>
        <v>14.757351612903225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25236/744000</f>
        <v>3.3919354838709677E-2</v>
      </c>
      <c r="H75" s="39">
        <f t="shared" si="2"/>
        <v>21.089380645161295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1339899/744000</f>
        <v>1.8009395161290322</v>
      </c>
      <c r="H76" s="40">
        <f t="shared" si="2"/>
        <v>15.161710483870968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158">
        <v>0</v>
      </c>
      <c r="H77" s="155" t="s">
        <v>15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111/744000</f>
        <v>1.4919354838709677E-4</v>
      </c>
      <c r="H78" s="40">
        <f t="shared" si="2"/>
        <v>16.962500806451612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20">
        <f>48391/744000</f>
        <v>6.5041666666666664E-2</v>
      </c>
      <c r="H79" s="146">
        <f t="shared" si="2"/>
        <v>21.058258333333338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20435/744000</f>
        <v>2.7466397849462365E-2</v>
      </c>
      <c r="H85" s="40">
        <f t="shared" si="2"/>
        <v>75.573533602150533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2308680/744000</f>
        <v>3.1030645161290322</v>
      </c>
      <c r="H86" s="40">
        <f t="shared" si="2"/>
        <v>98.361435483870963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1196895/744000</f>
        <v>1.6087298387096773</v>
      </c>
      <c r="H87" s="46">
        <f t="shared" si="2"/>
        <v>11.833370161290322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920392/744000</f>
        <v>1.2370860215053763</v>
      </c>
      <c r="H89" s="54">
        <f>F89-G89</f>
        <v>74.363913978494622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1242756/744000</f>
        <v>1.6703709677419354</v>
      </c>
      <c r="H90" s="46">
        <f>F90-G90</f>
        <v>15.292279032258065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96162/744000</f>
        <v>0.12925</v>
      </c>
      <c r="H92" s="52">
        <f t="shared" si="2"/>
        <v>16.833400000000001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1317176/744000</f>
        <v>1.7703978494623656</v>
      </c>
      <c r="H94" s="52">
        <f t="shared" si="2"/>
        <v>15.192252150537634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3795/744000</f>
        <v>5.1008064516129036E-3</v>
      </c>
      <c r="H96" s="39">
        <f t="shared" si="2"/>
        <v>16.957549193548388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9446/744000</f>
        <v>1.2696236559139784E-2</v>
      </c>
      <c r="H97" s="46">
        <f t="shared" si="2"/>
        <v>21.110603763440864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4838/744000</f>
        <v>6.5026881720430104E-3</v>
      </c>
      <c r="H99" s="52">
        <f t="shared" si="2"/>
        <v>16.956147311827959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143745/744000</f>
        <v>0.19320564516129032</v>
      </c>
      <c r="H101" s="52">
        <f t="shared" si="2"/>
        <v>20.930094354838715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47124/744000</f>
        <v>6.333870967741935E-2</v>
      </c>
      <c r="H103" s="39">
        <f t="shared" si="2"/>
        <v>16.899311290322579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145530/744000</f>
        <v>0.19560483870967743</v>
      </c>
      <c r="H104" s="72">
        <f t="shared" si="2"/>
        <v>16.767045161290323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v>0</v>
      </c>
      <c r="H105" s="155" t="s">
        <v>15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138873/744000</f>
        <v>0.18665725806451613</v>
      </c>
      <c r="H107" s="39">
        <f t="shared" si="2"/>
        <v>16.775992741935482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107289/744000</f>
        <v>0.14420564516129034</v>
      </c>
      <c r="H108" s="46">
        <f t="shared" si="2"/>
        <v>24.179594354838713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октябрь 2024г.</vt:lpstr>
      <vt:lpstr>БЭУ за октябрь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2024-11-11T11:52:04Z</dcterms:modified>
</cp:coreProperties>
</file>