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"/>
    </mc:Choice>
  </mc:AlternateContent>
  <bookViews>
    <workbookView xWindow="0" yWindow="0" windowWidth="23040" windowHeight="9216"/>
  </bookViews>
  <sheets>
    <sheet name="ЖЭУ  за январь 2025г." sheetId="3" r:id="rId1"/>
    <sheet name="БЭУ за январь 2025г." sheetId="3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34" l="1"/>
  <c r="G108" i="34"/>
  <c r="F108" i="34"/>
  <c r="G107" i="34"/>
  <c r="H107" i="34" s="1"/>
  <c r="F107" i="34"/>
  <c r="G105" i="34"/>
  <c r="F105" i="34"/>
  <c r="H105" i="34" s="1"/>
  <c r="G104" i="34"/>
  <c r="F104" i="34"/>
  <c r="H104" i="34" s="1"/>
  <c r="H103" i="34"/>
  <c r="G103" i="34"/>
  <c r="F103" i="34"/>
  <c r="G101" i="34"/>
  <c r="H101" i="34" s="1"/>
  <c r="F101" i="34"/>
  <c r="G99" i="34"/>
  <c r="F99" i="34"/>
  <c r="H99" i="34" s="1"/>
  <c r="G97" i="34"/>
  <c r="F97" i="34"/>
  <c r="H97" i="34" s="1"/>
  <c r="H96" i="34"/>
  <c r="G96" i="34"/>
  <c r="F96" i="34"/>
  <c r="G94" i="34"/>
  <c r="H94" i="34" s="1"/>
  <c r="F94" i="34"/>
  <c r="G92" i="34"/>
  <c r="F92" i="34"/>
  <c r="H92" i="34" s="1"/>
  <c r="G90" i="34"/>
  <c r="F90" i="34"/>
  <c r="G89" i="34"/>
  <c r="H89" i="34" s="1"/>
  <c r="F89" i="34"/>
  <c r="G87" i="34"/>
  <c r="F87" i="34"/>
  <c r="H87" i="34" s="1"/>
  <c r="G86" i="34"/>
  <c r="F86" i="34"/>
  <c r="H86" i="34" s="1"/>
  <c r="H85" i="34"/>
  <c r="G85" i="34"/>
  <c r="F85" i="34"/>
  <c r="F83" i="34"/>
  <c r="F81" i="34"/>
  <c r="G79" i="34"/>
  <c r="F79" i="34"/>
  <c r="H79" i="34" s="1"/>
  <c r="H78" i="34"/>
  <c r="G78" i="34"/>
  <c r="F78" i="34"/>
  <c r="F77" i="34"/>
  <c r="H77" i="34" s="1"/>
  <c r="G76" i="34"/>
  <c r="F76" i="34"/>
  <c r="H76" i="34" s="1"/>
  <c r="H75" i="34"/>
  <c r="G75" i="34"/>
  <c r="F75" i="34"/>
  <c r="G73" i="34"/>
  <c r="H73" i="34" s="1"/>
  <c r="F73" i="34"/>
  <c r="G72" i="34"/>
  <c r="F72" i="34"/>
  <c r="H72" i="34" s="1"/>
  <c r="G70" i="34"/>
  <c r="F70" i="34"/>
  <c r="H70" i="34" s="1"/>
  <c r="H69" i="34"/>
  <c r="G69" i="34"/>
  <c r="F69" i="34"/>
  <c r="G68" i="34"/>
  <c r="H68" i="34" s="1"/>
  <c r="F68" i="34"/>
  <c r="G66" i="34"/>
  <c r="F66" i="34"/>
  <c r="H66" i="34" s="1"/>
  <c r="G65" i="34"/>
  <c r="F65" i="34"/>
  <c r="H65" i="34" s="1"/>
  <c r="H64" i="34"/>
  <c r="G64" i="34"/>
  <c r="F64" i="34"/>
  <c r="G63" i="34"/>
  <c r="H63" i="34" s="1"/>
  <c r="F63" i="34"/>
  <c r="G62" i="34"/>
  <c r="F62" i="34"/>
  <c r="H62" i="34" s="1"/>
  <c r="G61" i="34"/>
  <c r="F61" i="34"/>
  <c r="H61" i="34" s="1"/>
  <c r="H60" i="34"/>
  <c r="G60" i="34"/>
  <c r="F60" i="34"/>
  <c r="G59" i="34"/>
  <c r="H59" i="34" s="1"/>
  <c r="F59" i="34"/>
  <c r="G58" i="34"/>
  <c r="F58" i="34"/>
  <c r="H58" i="34" s="1"/>
  <c r="G57" i="34"/>
  <c r="F57" i="34"/>
  <c r="H57" i="34" s="1"/>
  <c r="H56" i="34"/>
  <c r="G56" i="34"/>
  <c r="F56" i="34"/>
  <c r="G49" i="34"/>
  <c r="H49" i="34" s="1"/>
  <c r="H47" i="34"/>
  <c r="G47" i="34"/>
  <c r="G44" i="34"/>
  <c r="H44" i="34" s="1"/>
  <c r="H43" i="34"/>
  <c r="G43" i="34"/>
  <c r="G42" i="34"/>
  <c r="H42" i="34" s="1"/>
  <c r="H40" i="34"/>
  <c r="G40" i="34"/>
  <c r="G39" i="34"/>
  <c r="H39" i="34" s="1"/>
  <c r="H37" i="34"/>
  <c r="G37" i="34"/>
  <c r="G34" i="34"/>
  <c r="H34" i="34" s="1"/>
  <c r="H33" i="34"/>
  <c r="G33" i="34"/>
  <c r="G31" i="34"/>
  <c r="H31" i="34" s="1"/>
  <c r="H30" i="34"/>
  <c r="G30" i="34"/>
  <c r="G29" i="34"/>
  <c r="H29" i="34" s="1"/>
  <c r="H28" i="34"/>
  <c r="G28" i="34"/>
  <c r="G26" i="34"/>
  <c r="H26" i="34" s="1"/>
  <c r="H25" i="34"/>
  <c r="G25" i="34"/>
  <c r="G24" i="34"/>
  <c r="H24" i="34" s="1"/>
  <c r="H23" i="34"/>
  <c r="G23" i="34"/>
  <c r="G21" i="34"/>
  <c r="H21" i="34" s="1"/>
  <c r="H20" i="34"/>
  <c r="G20" i="34"/>
  <c r="G19" i="34"/>
  <c r="H19" i="34" s="1"/>
  <c r="H17" i="34"/>
  <c r="G17" i="34"/>
  <c r="G16" i="34"/>
  <c r="H16" i="34" s="1"/>
  <c r="H15" i="34"/>
  <c r="G15" i="34"/>
  <c r="G14" i="34"/>
  <c r="H14" i="34" s="1"/>
  <c r="H13" i="34"/>
  <c r="G13" i="34"/>
  <c r="G12" i="34"/>
  <c r="H12" i="34" s="1"/>
  <c r="H11" i="34"/>
  <c r="G11" i="34"/>
  <c r="G35" i="3" l="1"/>
  <c r="G34" i="3"/>
  <c r="G28" i="3" l="1"/>
  <c r="G30" i="3"/>
  <c r="G24" i="3" l="1"/>
  <c r="G107" i="3"/>
  <c r="G106" i="3"/>
  <c r="G105" i="3"/>
  <c r="G102" i="3"/>
  <c r="G100" i="3"/>
  <c r="G99" i="3"/>
  <c r="G98" i="3"/>
  <c r="G96" i="3"/>
  <c r="G92" i="3"/>
  <c r="G94" i="3"/>
  <c r="G90" i="3"/>
  <c r="G26" i="3"/>
  <c r="G78" i="3"/>
  <c r="G77" i="3"/>
  <c r="G76" i="3"/>
  <c r="G75" i="3"/>
  <c r="G74" i="3"/>
  <c r="G73" i="3"/>
  <c r="G72" i="3"/>
  <c r="G71" i="3"/>
  <c r="G21" i="3" l="1"/>
  <c r="G20" i="3"/>
  <c r="G69" i="3"/>
  <c r="G68" i="3"/>
  <c r="G19" i="3"/>
  <c r="G18" i="3"/>
  <c r="G17" i="3"/>
  <c r="G16" i="3"/>
  <c r="G87" i="3"/>
  <c r="G84" i="3"/>
  <c r="G85" i="3"/>
  <c r="G82" i="3"/>
  <c r="G81" i="3"/>
  <c r="G80" i="3"/>
  <c r="G37" i="3"/>
  <c r="G36" i="3"/>
  <c r="G43" i="3"/>
  <c r="G52" i="3"/>
  <c r="G53" i="3"/>
  <c r="G51" i="3" l="1"/>
  <c r="G50" i="3"/>
  <c r="G49" i="3" l="1"/>
  <c r="G47" i="3"/>
  <c r="G46" i="3"/>
  <c r="G45" i="3"/>
  <c r="G39" i="3"/>
  <c r="G38" i="3"/>
  <c r="G66" i="3"/>
  <c r="G65" i="3"/>
  <c r="G13" i="3"/>
  <c r="G12" i="3"/>
  <c r="G15" i="3"/>
  <c r="G22" i="3"/>
  <c r="G59" i="3"/>
  <c r="G23" i="3" l="1"/>
  <c r="H64" i="3" l="1"/>
  <c r="G93" i="3" l="1"/>
  <c r="H51" i="3"/>
  <c r="H35" i="3" l="1"/>
  <c r="G48" i="3" l="1"/>
  <c r="H34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110+ввод35-2рез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  <charset val="204"/>
          </rPr>
          <t>Rejim:</t>
        </r>
        <r>
          <rPr>
            <sz val="9"/>
            <color indexed="81"/>
            <rFont val="Tahoma"/>
            <family val="2"/>
            <charset val="204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<sst xmlns="http://schemas.openxmlformats.org/spreadsheetml/2006/main" count="486" uniqueCount="303">
  <si>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</si>
  <si>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</si>
  <si>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</si>
  <si>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</si>
  <si>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</si>
  <si>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</si>
  <si>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</si>
  <si>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</si>
  <si>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</si>
  <si>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</si>
  <si>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</si>
  <si>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</si>
  <si>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</si>
  <si>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</si>
  <si>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</si>
  <si>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</si>
  <si>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</si>
  <si>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</si>
  <si>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</si>
  <si>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</si>
  <si>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</si>
  <si>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</si>
  <si>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</si>
  <si>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</si>
  <si>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</si>
  <si>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</si>
  <si>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</si>
  <si>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</si>
  <si>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</si>
  <si>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</si>
  <si>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</si>
  <si>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</si>
  <si>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</si>
  <si>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</si>
  <si>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</si>
  <si>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</si>
  <si>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</si>
  <si>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</si>
  <si>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</si>
  <si>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</si>
  <si>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</si>
  <si>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</si>
  <si>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</si>
  <si>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</si>
  <si>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</si>
  <si>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</si>
  <si>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</si>
  <si>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</si>
  <si>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</si>
  <si>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</si>
  <si>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</si>
  <si>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</si>
  <si>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</si>
  <si>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</si>
  <si>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</si>
  <si>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</si>
  <si>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</si>
  <si>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</si>
  <si>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</si>
  <si>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</si>
  <si>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</si>
  <si>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</si>
  <si>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</si>
  <si>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</si>
  <si>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</si>
  <si>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</si>
  <si>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</si>
  <si>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</si>
  <si>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</si>
  <si>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</si>
  <si>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</si>
  <si>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</si>
  <si>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</si>
  <si>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</si>
  <si>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</si>
  <si>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</si>
  <si>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</si>
  <si>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</si>
  <si>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</si>
  <si>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</si>
  <si>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</si>
  <si>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</si>
  <si>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</si>
  <si>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</si>
  <si>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</si>
  <si>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</si>
  <si>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</si>
  <si>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</si>
  <si>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</si>
  <si>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</si>
  <si>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</si>
  <si>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</si>
  <si>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</si>
  <si>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</si>
  <si>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</si>
  <si>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</si>
  <si>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</si>
  <si>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</si>
  <si>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</si>
  <si>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</si>
  <si>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</si>
  <si>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</si>
  <si>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</si>
  <si>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</si>
  <si>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</si>
  <si>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</si>
  <si>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</si>
  <si>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</si>
  <si>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</si>
  <si>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</si>
  <si>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</si>
  <si>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</si>
  <si>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</si>
  <si>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</si>
  <si>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</si>
  <si>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</si>
  <si>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</si>
  <si>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</si>
  <si>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</si>
  <si>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</si>
  <si>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</si>
  <si>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</si>
  <si>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</si>
  <si>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</si>
  <si>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</si>
  <si>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</si>
  <si>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АО "Жезказгансая РЭК"</t>
  </si>
  <si>
    <t>Таблица №1</t>
  </si>
  <si>
    <t>Адрес</t>
  </si>
  <si>
    <t>Уровень</t>
  </si>
  <si>
    <t>Мощность</t>
  </si>
  <si>
    <t>Загрузка,</t>
  </si>
  <si>
    <t>Свободная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</si>
  <si>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</si>
  <si>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</si>
  <si>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</si>
  <si>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</si>
  <si>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</si>
  <si>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</si>
  <si>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</si>
  <si>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</si>
  <si>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</si>
  <si>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</si>
  <si>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</si>
  <si>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</si>
  <si>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</si>
  <si>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</si>
  <si>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</si>
  <si>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</si>
  <si>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</si>
  <si>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</si>
  <si>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</si>
  <si>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</si>
  <si>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</si>
  <si>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</si>
  <si>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</si>
  <si>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</si>
  <si>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</si>
  <si>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</si>
  <si>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</si>
  <si>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</si>
  <si>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</si>
  <si>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</si>
  <si>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</si>
  <si>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</si>
  <si>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</si>
  <si>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</si>
  <si>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</si>
  <si>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</si>
  <si>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</si>
  <si>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</si>
  <si>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</si>
  <si>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</si>
  <si>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</si>
  <si>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</si>
  <si>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</si>
  <si>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</si>
  <si>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</si>
  <si>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</si>
  <si>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</si>
  <si>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</si>
  <si>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</si>
  <si>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</si>
  <si>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</si>
  <si>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</si>
  <si>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</si>
  <si>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</si>
  <si>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</si>
  <si>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</si>
  <si>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</si>
  <si>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</si>
  <si>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</si>
  <si>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</si>
  <si>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</si>
  <si>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</si>
  <si>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</si>
  <si>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</si>
  <si>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</si>
  <si>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</si>
  <si>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</si>
  <si>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</si>
  <si>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</si>
  <si>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</si>
  <si>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</si>
  <si>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</si>
  <si>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</si>
  <si>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</si>
  <si>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</si>
  <si>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</si>
  <si>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</si>
  <si>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</si>
  <si>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</si>
  <si>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</si>
  <si>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</si>
  <si>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</si>
  <si>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</si>
  <si>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</si>
  <si>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</si>
  <si>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</si>
  <si>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</si>
  <si>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</si>
  <si>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</si>
  <si>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</si>
  <si>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</si>
  <si>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</si>
  <si>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</si>
  <si>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</si>
  <si>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</si>
  <si>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</si>
  <si>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</si>
  <si>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</si>
  <si>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</si>
  <si>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</si>
  <si>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</si>
  <si>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</si>
  <si>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</si>
  <si>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</si>
  <si>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</si>
  <si>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</si>
  <si>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</si>
  <si>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</si>
  <si>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</si>
  <si>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</si>
  <si>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</si>
  <si>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</si>
  <si>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</si>
  <si>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</si>
  <si>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</si>
  <si>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</si>
  <si>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</si>
  <si>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</si>
  <si>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</si>
  <si>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</si>
  <si>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</si>
  <si>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</si>
  <si>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</si>
  <si>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</si>
  <si>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</si>
  <si>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</si>
  <si>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</si>
  <si>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</si>
  <si>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</si>
  <si>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</si>
  <si>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</si>
  <si>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</si>
  <si>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</si>
  <si>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</si>
  <si>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</si>
  <si>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</si>
  <si>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</si>
  <si>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</si>
  <si>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</si>
  <si>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</si>
  <si>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</si>
  <si>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</si>
  <si>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</si>
  <si>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</si>
  <si>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</si>
  <si>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</si>
  <si>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</si>
  <si>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</si>
  <si>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</si>
  <si>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</si>
  <si>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</si>
  <si>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</si>
  <si>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</si>
  <si>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</si>
  <si>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</si>
  <si>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</si>
  <si>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</si>
  <si>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</si>
  <si>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</si>
  <si>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</si>
  <si>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</si>
  <si>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</si>
  <si>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</si>
  <si>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</si>
  <si>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за январь 2025г.</t>
  </si>
  <si>
    <t>35/6кВ Уш-Шокы</t>
  </si>
  <si>
    <t>35/10кВ Уш-Шокы</t>
  </si>
  <si>
    <t>35/0,4кВ Скважина №701</t>
  </si>
  <si>
    <t>Январь 2025 года</t>
  </si>
  <si>
    <t>150, 70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</si>
</sst>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8"/>
      <name val="Arial Narrow"/>
      <family val="2"/>
      <charset val="204"/>
    </font>
    <font>
      <b/>
      <sz val="10"/>
      <color rgb="FFFF0000"/>
      <name val="Arial Cyr"/>
      <charset val="204"/>
    </font>
    <font>
      <u val="singleAccounting"/>
      <sz val="10"/>
      <color rgb="FFFF0000"/>
      <name val="Arial Cyr"/>
      <charset val="204"/>
    </font>
    <font>
      <u val="singleAccounting"/>
      <sz val="11"/>
      <color rgb="FF00B0F0"/>
      <name val="Calibri"/>
      <family val="2"/>
      <charset val="204"/>
    </font>
    <font>
      <sz val="10"/>
      <color rgb="FF00B0F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20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165" fontId="2" fillId="0" borderId="31" xfId="1" applyNumberFormat="1" applyFont="1" applyFill="1" applyBorder="1" applyAlignment="1">
      <alignment horizontal="right"/>
    </xf>
    <xf numFmtId="0" fontId="22" fillId="2" borderId="0" xfId="3" applyFont="1" applyFill="1"/>
    <xf numFmtId="0" fontId="4" fillId="2" borderId="24" xfId="3" applyFont="1" applyFill="1" applyBorder="1" applyAlignment="1">
      <alignment horizontal="left"/>
    </xf>
    <xf numFmtId="0" fontId="4" fillId="2" borderId="32" xfId="3" applyFont="1" applyFill="1" applyBorder="1"/>
    <xf numFmtId="0" fontId="23" fillId="2" borderId="0" xfId="3" applyFont="1" applyFill="1"/>
    <xf numFmtId="0" fontId="24" fillId="2" borderId="0" xfId="3" applyFont="1" applyFill="1"/>
    <xf numFmtId="0" fontId="25" fillId="2" borderId="8" xfId="3" applyFont="1" applyFill="1" applyBorder="1"/>
    <xf numFmtId="169" fontId="22" fillId="2" borderId="0" xfId="3" applyNumberFormat="1" applyFont="1" applyFill="1"/>
    <xf numFmtId="0" fontId="26" fillId="2" borderId="0" xfId="3" applyFont="1" applyFill="1"/>
    <xf numFmtId="169" fontId="13" fillId="2" borderId="0" xfId="3" applyNumberFormat="1" applyFont="1" applyFill="1"/>
    <xf numFmtId="166" fontId="27" fillId="2" borderId="0" xfId="1" applyNumberFormat="1" applyFont="1" applyFill="1"/>
    <xf numFmtId="166" fontId="22" fillId="2" borderId="0" xfId="1" applyNumberFormat="1" applyFont="1" applyFill="1"/>
    <xf numFmtId="0" fontId="11" fillId="0" borderId="0" xfId="3" applyFont="1" applyFill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/>
    </xf>
    <xf numFmtId="0" fontId="4" fillId="0" borderId="18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4" fillId="0" borderId="24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0" fontId="4" fillId="0" borderId="0" xfId="3" applyFont="1" applyFill="1"/>
    <xf numFmtId="0" fontId="4" fillId="0" borderId="1" xfId="3" applyFont="1" applyFill="1" applyBorder="1" applyAlignment="1">
      <alignment horizontal="center"/>
    </xf>
    <xf numFmtId="0" fontId="21" fillId="0" borderId="0" xfId="3" applyFont="1" applyFill="1" applyBorder="1"/>
    <xf numFmtId="166" fontId="28" fillId="2" borderId="0" xfId="1" applyNumberFormat="1" applyFont="1" applyFill="1"/>
    <xf numFmtId="0" fontId="29" fillId="2" borderId="0" xfId="3" applyFont="1" applyFill="1"/>
    <xf numFmtId="168" fontId="4" fillId="0" borderId="4" xfId="2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left" indent="8"/>
    </xf>
    <xf numFmtId="166" fontId="4" fillId="0" borderId="1" xfId="1" applyNumberFormat="1" applyFont="1" applyFill="1" applyBorder="1" applyAlignment="1">
      <alignment horizontal="left" indent="8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6" fillId="0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0" borderId="12" xfId="3" applyFont="1" applyFill="1" applyBorder="1" applyAlignment="1">
      <alignment horizontal="center" vertical="center"/>
    </xf>
    <xf numFmtId="0" fontId="6" fillId="0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zoomScaleNormal="100" zoomScaleSheetLayoutView="135" workbookViewId="0"/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0.109375" style="70" customWidth="1"/>
    <col min="5" max="5" width="17.5546875" style="81" customWidth="1"/>
    <col min="6" max="6" width="14.21875" style="70" customWidth="1"/>
    <col min="7" max="7" width="12.21875" style="181" customWidth="1"/>
    <col min="8" max="8" width="12.21875" style="76" customWidth="1"/>
    <col min="9" max="9" width="14.5546875" style="76" customWidth="1"/>
    <col min="10" max="12" width="9.21875" style="76" hidden="1" customWidth="1"/>
    <col min="13" max="13" width="12.5546875" style="76" customWidth="1"/>
    <col min="14" max="14" width="13.88671875" style="76" customWidth="1"/>
    <col min="15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2"/>
      <c r="G1" s="172"/>
      <c r="H1" s="64" t="s">
        <v>125</v>
      </c>
      <c r="I1" s="75"/>
      <c r="R1" s="77"/>
      <c r="S1" s="78"/>
      <c r="T1" s="78"/>
    </row>
    <row r="2" spans="1:20" ht="18" x14ac:dyDescent="0.35">
      <c r="B2" s="79"/>
      <c r="C2" s="80"/>
      <c r="D2" s="80"/>
      <c r="F2" s="65"/>
      <c r="G2" s="173"/>
      <c r="H2" s="65" t="s">
        <v>1</v>
      </c>
      <c r="I2" s="82"/>
      <c r="R2" s="77"/>
      <c r="S2" s="78"/>
      <c r="T2" s="78"/>
    </row>
    <row r="3" spans="1:20" ht="18" x14ac:dyDescent="0.35">
      <c r="B3" s="64"/>
      <c r="C3" s="64"/>
      <c r="D3" s="64"/>
      <c r="E3" s="64"/>
      <c r="F3" s="152"/>
      <c r="G3" s="172"/>
      <c r="H3" s="64" t="s">
        <v>2</v>
      </c>
      <c r="I3" s="82"/>
      <c r="R3" s="77"/>
      <c r="S3" s="78"/>
      <c r="T3" s="78"/>
    </row>
    <row r="4" spans="1:20" ht="18" x14ac:dyDescent="0.35">
      <c r="A4" s="83"/>
      <c r="B4" s="83"/>
      <c r="C4" s="84"/>
      <c r="D4" s="84" t="s">
        <v>126</v>
      </c>
      <c r="E4" s="85"/>
      <c r="F4" s="83"/>
      <c r="G4" s="174"/>
      <c r="H4" s="66" t="s">
        <v>127</v>
      </c>
      <c r="I4" s="82"/>
      <c r="R4" s="77"/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93" t="s">
        <v>297</v>
      </c>
      <c r="H5" s="193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128</v>
      </c>
      <c r="E6" s="90" t="s">
        <v>129</v>
      </c>
      <c r="F6" s="89" t="s">
        <v>130</v>
      </c>
      <c r="G6" s="194" t="s">
        <v>131</v>
      </c>
      <c r="H6" s="90" t="s">
        <v>132</v>
      </c>
      <c r="R6" s="77"/>
      <c r="S6" s="78"/>
      <c r="T6" s="78"/>
    </row>
    <row r="7" spans="1:20" x14ac:dyDescent="0.3">
      <c r="A7" s="91" t="s">
        <v>133</v>
      </c>
      <c r="B7" s="92" t="s">
        <v>134</v>
      </c>
      <c r="C7" s="92" t="s">
        <v>6</v>
      </c>
      <c r="D7" s="92" t="s">
        <v>135</v>
      </c>
      <c r="E7" s="93" t="s">
        <v>136</v>
      </c>
      <c r="F7" s="92" t="s">
        <v>137</v>
      </c>
      <c r="G7" s="195"/>
      <c r="H7" s="93" t="s">
        <v>138</v>
      </c>
    </row>
    <row r="8" spans="1:20" ht="16.2" thickBot="1" x14ac:dyDescent="0.35">
      <c r="A8" s="94"/>
      <c r="B8" s="95"/>
      <c r="C8" s="95"/>
      <c r="D8" s="95"/>
      <c r="E8" s="67" t="s">
        <v>139</v>
      </c>
      <c r="F8" s="96" t="s">
        <v>140</v>
      </c>
      <c r="G8" s="175" t="s">
        <v>141</v>
      </c>
      <c r="H8" s="67" t="s">
        <v>141</v>
      </c>
    </row>
    <row r="9" spans="1:20" x14ac:dyDescent="0.3">
      <c r="A9" s="97"/>
      <c r="B9" s="98" t="s">
        <v>286</v>
      </c>
      <c r="C9" s="98"/>
      <c r="D9" s="98"/>
      <c r="E9" s="99"/>
      <c r="F9" s="98"/>
      <c r="G9" s="176"/>
      <c r="H9" s="100">
        <v>744</v>
      </c>
    </row>
    <row r="10" spans="1:20" x14ac:dyDescent="0.3">
      <c r="A10" s="101" t="s">
        <v>142</v>
      </c>
      <c r="B10" s="102" t="s">
        <v>143</v>
      </c>
      <c r="C10" s="102"/>
      <c r="D10" s="102"/>
      <c r="E10" s="103"/>
      <c r="F10" s="104"/>
      <c r="G10" s="177"/>
      <c r="H10" s="105"/>
    </row>
    <row r="11" spans="1:20" x14ac:dyDescent="0.3">
      <c r="A11" s="69"/>
      <c r="B11" s="106" t="s">
        <v>144</v>
      </c>
      <c r="C11" s="106"/>
      <c r="D11" s="106"/>
      <c r="E11" s="103"/>
      <c r="F11" s="68"/>
      <c r="G11" s="177"/>
      <c r="H11" s="105"/>
    </row>
    <row r="12" spans="1:20" x14ac:dyDescent="0.3">
      <c r="A12" s="69" t="s">
        <v>145</v>
      </c>
      <c r="B12" s="104" t="s">
        <v>146</v>
      </c>
      <c r="C12" s="107" t="s">
        <v>147</v>
      </c>
      <c r="D12" s="107"/>
      <c r="E12" s="68" t="s">
        <v>148</v>
      </c>
      <c r="F12" s="68">
        <v>63000</v>
      </c>
      <c r="G12" s="178">
        <f>(10127832+124590)/H9/1000</f>
        <v>13.780137096774194</v>
      </c>
      <c r="H12" s="108">
        <f>F12/1000-G12</f>
        <v>49.219862903225803</v>
      </c>
      <c r="I12" s="109"/>
      <c r="N12" s="110"/>
    </row>
    <row r="13" spans="1:20" x14ac:dyDescent="0.3">
      <c r="A13" s="69"/>
      <c r="B13" s="104"/>
      <c r="C13" s="107" t="s">
        <v>149</v>
      </c>
      <c r="D13" s="107"/>
      <c r="E13" s="68" t="s">
        <v>150</v>
      </c>
      <c r="F13" s="68">
        <v>63000</v>
      </c>
      <c r="G13" s="178">
        <f>(10149876+173640)/H9/1000</f>
        <v>13.875693548387096</v>
      </c>
      <c r="H13" s="108">
        <f>F13/1000-G13</f>
        <v>49.124306451612902</v>
      </c>
      <c r="I13" s="109"/>
      <c r="N13" s="110"/>
    </row>
    <row r="14" spans="1:20" x14ac:dyDescent="0.3">
      <c r="A14" s="69"/>
      <c r="B14" s="106" t="s">
        <v>151</v>
      </c>
      <c r="C14" s="106"/>
      <c r="D14" s="106"/>
      <c r="E14" s="68"/>
      <c r="F14" s="68"/>
      <c r="G14" s="178"/>
      <c r="H14" s="108"/>
      <c r="I14" s="109"/>
      <c r="N14" s="110"/>
    </row>
    <row r="15" spans="1:20" x14ac:dyDescent="0.3">
      <c r="A15" s="69" t="s">
        <v>152</v>
      </c>
      <c r="B15" s="104" t="s">
        <v>153</v>
      </c>
      <c r="C15" s="104"/>
      <c r="D15" s="104"/>
      <c r="E15" s="68" t="s">
        <v>154</v>
      </c>
      <c r="F15" s="68">
        <v>6300</v>
      </c>
      <c r="G15" s="178">
        <f>301488/H9/1000</f>
        <v>0.40522580645161294</v>
      </c>
      <c r="H15" s="108">
        <f t="shared" ref="H15:H21" si="0">F15/1000-G15</f>
        <v>5.8947741935483871</v>
      </c>
      <c r="I15" s="109"/>
      <c r="N15" s="110"/>
    </row>
    <row r="16" spans="1:20" x14ac:dyDescent="0.3">
      <c r="A16" s="69" t="s">
        <v>155</v>
      </c>
      <c r="B16" s="104" t="s">
        <v>156</v>
      </c>
      <c r="C16" s="104" t="s">
        <v>157</v>
      </c>
      <c r="D16" s="104"/>
      <c r="E16" s="111">
        <v>11.1</v>
      </c>
      <c r="F16" s="68">
        <v>16000</v>
      </c>
      <c r="G16" s="178">
        <f>673792/H9/1000</f>
        <v>0.9056344086021505</v>
      </c>
      <c r="H16" s="108">
        <f t="shared" si="0"/>
        <v>15.09436559139785</v>
      </c>
      <c r="I16" s="109"/>
      <c r="N16" s="110"/>
    </row>
    <row r="17" spans="1:20" x14ac:dyDescent="0.3">
      <c r="A17" s="69"/>
      <c r="B17" s="104"/>
      <c r="C17" s="104" t="s">
        <v>158</v>
      </c>
      <c r="D17" s="104"/>
      <c r="E17" s="111">
        <v>11.1</v>
      </c>
      <c r="F17" s="68">
        <v>16000</v>
      </c>
      <c r="G17" s="178">
        <f>484550/H9/1000</f>
        <v>0.65127688172043008</v>
      </c>
      <c r="H17" s="108">
        <f t="shared" si="0"/>
        <v>15.348723118279571</v>
      </c>
      <c r="I17" s="109"/>
      <c r="N17" s="110"/>
    </row>
    <row r="18" spans="1:20" x14ac:dyDescent="0.3">
      <c r="A18" s="69" t="s">
        <v>159</v>
      </c>
      <c r="B18" s="104" t="s">
        <v>160</v>
      </c>
      <c r="C18" s="104" t="s">
        <v>157</v>
      </c>
      <c r="D18" s="104"/>
      <c r="E18" s="68" t="s">
        <v>161</v>
      </c>
      <c r="F18" s="68">
        <v>16000</v>
      </c>
      <c r="G18" s="178">
        <f>348372/H9/1000</f>
        <v>0.468241935483871</v>
      </c>
      <c r="H18" s="108">
        <f t="shared" si="0"/>
        <v>15.531758064516129</v>
      </c>
      <c r="I18" s="109"/>
      <c r="N18" s="110"/>
    </row>
    <row r="19" spans="1:20" x14ac:dyDescent="0.3">
      <c r="A19" s="69"/>
      <c r="B19" s="104"/>
      <c r="C19" s="104" t="s">
        <v>158</v>
      </c>
      <c r="D19" s="104"/>
      <c r="E19" s="68" t="s">
        <v>162</v>
      </c>
      <c r="F19" s="68">
        <v>16000</v>
      </c>
      <c r="G19" s="178">
        <f>248112/H9/1000</f>
        <v>0.33348387096774196</v>
      </c>
      <c r="H19" s="108">
        <f t="shared" si="0"/>
        <v>15.666516129032258</v>
      </c>
      <c r="I19" s="109"/>
      <c r="N19" s="110"/>
    </row>
    <row r="20" spans="1:20" x14ac:dyDescent="0.3">
      <c r="A20" s="69" t="s">
        <v>163</v>
      </c>
      <c r="B20" s="104" t="s">
        <v>164</v>
      </c>
      <c r="C20" s="104" t="s">
        <v>157</v>
      </c>
      <c r="D20" s="104"/>
      <c r="E20" s="68" t="s">
        <v>165</v>
      </c>
      <c r="F20" s="68">
        <v>40000</v>
      </c>
      <c r="G20" s="178">
        <f>2450800/H9/1000</f>
        <v>3.2940860215053762</v>
      </c>
      <c r="H20" s="108">
        <f t="shared" si="0"/>
        <v>36.705913978494621</v>
      </c>
      <c r="I20" s="109"/>
      <c r="N20" s="110"/>
    </row>
    <row r="21" spans="1:20" x14ac:dyDescent="0.3">
      <c r="A21" s="69"/>
      <c r="B21" s="104"/>
      <c r="C21" s="104" t="s">
        <v>158</v>
      </c>
      <c r="D21" s="104"/>
      <c r="E21" s="68" t="s">
        <v>166</v>
      </c>
      <c r="F21" s="68">
        <v>40000</v>
      </c>
      <c r="G21" s="178">
        <f>980760/H9/1000</f>
        <v>1.318225806451613</v>
      </c>
      <c r="H21" s="108">
        <f t="shared" si="0"/>
        <v>38.681774193548385</v>
      </c>
      <c r="I21" s="167"/>
      <c r="J21" s="161"/>
      <c r="K21" s="161"/>
      <c r="L21" s="161"/>
      <c r="M21" s="168"/>
      <c r="N21" s="169"/>
      <c r="O21" s="161"/>
      <c r="P21" s="161"/>
      <c r="Q21" s="161"/>
      <c r="R21" s="161"/>
      <c r="S21" s="161"/>
      <c r="T21" s="161"/>
    </row>
    <row r="22" spans="1:20" ht="17.399999999999999" x14ac:dyDescent="0.45">
      <c r="A22" s="69" t="s">
        <v>170</v>
      </c>
      <c r="B22" s="104" t="s">
        <v>171</v>
      </c>
      <c r="C22" s="104"/>
      <c r="D22" s="104"/>
      <c r="E22" s="68" t="s">
        <v>172</v>
      </c>
      <c r="F22" s="68">
        <v>10000</v>
      </c>
      <c r="G22" s="178">
        <f>(1295228+137046)/H9/1000</f>
        <v>1.9250994623655913</v>
      </c>
      <c r="H22" s="108">
        <f>F22/1000-G22</f>
        <v>8.0749005376344094</v>
      </c>
      <c r="I22" s="170"/>
      <c r="J22" s="171"/>
      <c r="K22" s="171"/>
      <c r="L22" s="171"/>
      <c r="M22" s="171"/>
      <c r="N22" s="184"/>
      <c r="O22" s="185"/>
      <c r="P22" s="185"/>
      <c r="Q22" s="185"/>
      <c r="R22" s="185"/>
      <c r="S22" s="185"/>
      <c r="T22" s="185"/>
    </row>
    <row r="23" spans="1:20" hidden="1" x14ac:dyDescent="0.3">
      <c r="A23" s="69"/>
      <c r="B23" s="104"/>
      <c r="C23" s="104"/>
      <c r="D23" s="104"/>
      <c r="E23" s="68" t="s">
        <v>168</v>
      </c>
      <c r="F23" s="68">
        <v>2500</v>
      </c>
      <c r="G23" s="178">
        <f>(0+0-0)/H9/1000</f>
        <v>0</v>
      </c>
      <c r="H23" s="108">
        <f>F23/1000-G23</f>
        <v>2.5</v>
      </c>
      <c r="I23" s="109"/>
      <c r="N23" s="110"/>
    </row>
    <row r="24" spans="1:20" x14ac:dyDescent="0.3">
      <c r="A24" s="69" t="s">
        <v>173</v>
      </c>
      <c r="B24" s="104" t="s">
        <v>174</v>
      </c>
      <c r="C24" s="104"/>
      <c r="D24" s="104"/>
      <c r="E24" s="68" t="s">
        <v>175</v>
      </c>
      <c r="F24" s="68">
        <v>6300</v>
      </c>
      <c r="G24" s="178">
        <f>1133660/H9/1000</f>
        <v>1.5237365591397849</v>
      </c>
      <c r="H24" s="108">
        <f>F24/1000-G24</f>
        <v>4.7762634408602151</v>
      </c>
      <c r="I24" s="109"/>
      <c r="N24" s="110"/>
    </row>
    <row r="25" spans="1:20" x14ac:dyDescent="0.3">
      <c r="A25" s="69"/>
      <c r="B25" s="106" t="s">
        <v>176</v>
      </c>
      <c r="C25" s="106"/>
      <c r="D25" s="106"/>
      <c r="E25" s="68"/>
      <c r="F25" s="68"/>
      <c r="G25" s="178"/>
      <c r="H25" s="108"/>
      <c r="I25" s="109"/>
      <c r="N25" s="110"/>
    </row>
    <row r="26" spans="1:20" x14ac:dyDescent="0.3">
      <c r="A26" s="69" t="s">
        <v>177</v>
      </c>
      <c r="B26" s="104" t="s">
        <v>178</v>
      </c>
      <c r="C26" s="104" t="s">
        <v>157</v>
      </c>
      <c r="D26" s="104"/>
      <c r="E26" s="111" t="s">
        <v>179</v>
      </c>
      <c r="F26" s="68">
        <v>1000</v>
      </c>
      <c r="G26" s="178">
        <f>138708/H9/1000</f>
        <v>0.18643548387096776</v>
      </c>
      <c r="H26" s="108">
        <f>F26/1000-G26</f>
        <v>0.81356451612903224</v>
      </c>
      <c r="I26" s="109"/>
      <c r="N26" s="110"/>
    </row>
    <row r="27" spans="1:20" x14ac:dyDescent="0.3">
      <c r="A27" s="69"/>
      <c r="B27" s="104"/>
      <c r="C27" s="104" t="s">
        <v>158</v>
      </c>
      <c r="D27" s="104"/>
      <c r="E27" s="68" t="s">
        <v>168</v>
      </c>
      <c r="F27" s="68">
        <v>6300</v>
      </c>
      <c r="G27" s="178" t="s">
        <v>169</v>
      </c>
      <c r="H27" s="108"/>
      <c r="I27" s="109"/>
      <c r="N27" s="110"/>
    </row>
    <row r="28" spans="1:20" x14ac:dyDescent="0.3">
      <c r="A28" s="69" t="s">
        <v>180</v>
      </c>
      <c r="B28" s="104" t="s">
        <v>181</v>
      </c>
      <c r="C28" s="104"/>
      <c r="D28" s="104"/>
      <c r="E28" s="111" t="s">
        <v>179</v>
      </c>
      <c r="F28" s="68">
        <v>1000</v>
      </c>
      <c r="G28" s="178">
        <f>33623/H9/1000</f>
        <v>4.5192204301075269E-2</v>
      </c>
      <c r="H28" s="108">
        <f>F28/1000-G28</f>
        <v>0.95480779569892471</v>
      </c>
      <c r="I28" s="167"/>
      <c r="N28" s="110"/>
    </row>
    <row r="29" spans="1:20" x14ac:dyDescent="0.3">
      <c r="A29" s="69" t="s">
        <v>182</v>
      </c>
      <c r="B29" s="104" t="s">
        <v>183</v>
      </c>
      <c r="C29" s="104"/>
      <c r="D29" s="104"/>
      <c r="E29" s="111" t="s">
        <v>179</v>
      </c>
      <c r="F29" s="68">
        <v>1000</v>
      </c>
      <c r="G29" s="178">
        <v>0</v>
      </c>
      <c r="H29" s="108">
        <f>F29/1000-G29</f>
        <v>1</v>
      </c>
      <c r="I29" s="109"/>
      <c r="N29" s="110"/>
    </row>
    <row r="30" spans="1:20" x14ac:dyDescent="0.3">
      <c r="A30" s="69" t="s">
        <v>186</v>
      </c>
      <c r="B30" s="104" t="s">
        <v>290</v>
      </c>
      <c r="C30" s="104"/>
      <c r="D30" s="104"/>
      <c r="E30" s="68" t="s">
        <v>291</v>
      </c>
      <c r="F30" s="68">
        <v>4000</v>
      </c>
      <c r="G30" s="178">
        <f>36603/H9/1000</f>
        <v>4.919758064516129E-2</v>
      </c>
      <c r="H30" s="108">
        <f>F30/1000-G30</f>
        <v>3.9508024193548388</v>
      </c>
      <c r="I30" s="109"/>
      <c r="N30" s="110"/>
    </row>
    <row r="31" spans="1:20" hidden="1" x14ac:dyDescent="0.3">
      <c r="A31" s="69"/>
      <c r="B31" s="104"/>
      <c r="C31" s="104" t="s">
        <v>158</v>
      </c>
      <c r="D31" s="104"/>
      <c r="E31" s="68" t="s">
        <v>168</v>
      </c>
      <c r="F31" s="68">
        <v>6300</v>
      </c>
      <c r="G31" s="178" t="s">
        <v>169</v>
      </c>
      <c r="H31" s="108"/>
      <c r="I31" s="109"/>
      <c r="N31" s="110"/>
    </row>
    <row r="32" spans="1:20" x14ac:dyDescent="0.3">
      <c r="A32" s="101" t="s">
        <v>184</v>
      </c>
      <c r="B32" s="102" t="s">
        <v>185</v>
      </c>
      <c r="C32" s="102"/>
      <c r="D32" s="102"/>
      <c r="E32" s="68"/>
      <c r="F32" s="68"/>
      <c r="G32" s="178"/>
      <c r="H32" s="108"/>
      <c r="I32" s="109"/>
      <c r="N32" s="110"/>
    </row>
    <row r="33" spans="1:14" x14ac:dyDescent="0.3">
      <c r="A33" s="101"/>
      <c r="B33" s="106" t="s">
        <v>144</v>
      </c>
      <c r="C33" s="106"/>
      <c r="D33" s="106"/>
      <c r="E33" s="68"/>
      <c r="F33" s="68"/>
      <c r="G33" s="178"/>
      <c r="H33" s="108"/>
      <c r="I33" s="109"/>
      <c r="N33" s="110"/>
    </row>
    <row r="34" spans="1:14" x14ac:dyDescent="0.3">
      <c r="A34" s="69" t="s">
        <v>190</v>
      </c>
      <c r="B34" s="104" t="s">
        <v>187</v>
      </c>
      <c r="C34" s="104" t="s">
        <v>157</v>
      </c>
      <c r="D34" s="166"/>
      <c r="E34" s="68" t="s">
        <v>188</v>
      </c>
      <c r="F34" s="68">
        <v>25000</v>
      </c>
      <c r="G34" s="178">
        <f>3716988/H9/1000</f>
        <v>4.9959516129032258</v>
      </c>
      <c r="H34" s="108">
        <f>F34/1000-G34</f>
        <v>20.004048387096773</v>
      </c>
      <c r="I34" s="167"/>
      <c r="N34" s="110"/>
    </row>
    <row r="35" spans="1:14" x14ac:dyDescent="0.3">
      <c r="A35" s="69"/>
      <c r="B35" s="68"/>
      <c r="C35" s="104" t="s">
        <v>158</v>
      </c>
      <c r="D35" s="166"/>
      <c r="E35" s="68" t="s">
        <v>189</v>
      </c>
      <c r="F35" s="68">
        <v>25000</v>
      </c>
      <c r="G35" s="178">
        <f>5454372/H9/1000</f>
        <v>7.3311451612903227</v>
      </c>
      <c r="H35" s="108">
        <f>F35/1000-G35</f>
        <v>17.668854838709677</v>
      </c>
      <c r="I35" s="109"/>
      <c r="N35" s="110"/>
    </row>
    <row r="36" spans="1:14" x14ac:dyDescent="0.3">
      <c r="A36" s="69" t="s">
        <v>194</v>
      </c>
      <c r="B36" s="104" t="s">
        <v>191</v>
      </c>
      <c r="C36" s="104" t="s">
        <v>157</v>
      </c>
      <c r="D36" s="104"/>
      <c r="E36" s="68" t="s">
        <v>192</v>
      </c>
      <c r="F36" s="68">
        <v>40000</v>
      </c>
      <c r="G36" s="178">
        <f>3860472/H9/1000</f>
        <v>5.1888064516129031</v>
      </c>
      <c r="H36" s="108">
        <f t="shared" ref="H36:H41" si="1">F36/1000-G36</f>
        <v>34.811193548387095</v>
      </c>
      <c r="I36" s="109"/>
      <c r="N36" s="110"/>
    </row>
    <row r="37" spans="1:14" x14ac:dyDescent="0.3">
      <c r="A37" s="69"/>
      <c r="B37" s="68"/>
      <c r="C37" s="104" t="s">
        <v>158</v>
      </c>
      <c r="D37" s="104"/>
      <c r="E37" s="68" t="s">
        <v>193</v>
      </c>
      <c r="F37" s="68">
        <v>40000</v>
      </c>
      <c r="G37" s="178">
        <f>3135000/H9/1000</f>
        <v>4.213709677419355</v>
      </c>
      <c r="H37" s="108">
        <f t="shared" si="1"/>
        <v>35.786290322580648</v>
      </c>
      <c r="I37" s="109"/>
      <c r="N37" s="110"/>
    </row>
    <row r="38" spans="1:14" x14ac:dyDescent="0.3">
      <c r="A38" s="69" t="s">
        <v>204</v>
      </c>
      <c r="B38" s="104" t="s">
        <v>195</v>
      </c>
      <c r="C38" s="104" t="s">
        <v>157</v>
      </c>
      <c r="D38" s="104"/>
      <c r="E38" s="68" t="s">
        <v>196</v>
      </c>
      <c r="F38" s="68">
        <v>20000</v>
      </c>
      <c r="G38" s="178">
        <f>7016416/H9/1000</f>
        <v>9.4306666666666654</v>
      </c>
      <c r="H38" s="108">
        <f t="shared" si="1"/>
        <v>10.569333333333335</v>
      </c>
      <c r="I38" s="109"/>
      <c r="N38" s="110"/>
    </row>
    <row r="39" spans="1:14" x14ac:dyDescent="0.3">
      <c r="A39" s="69"/>
      <c r="B39" s="68"/>
      <c r="C39" s="104" t="s">
        <v>158</v>
      </c>
      <c r="D39" s="104"/>
      <c r="E39" s="68" t="s">
        <v>197</v>
      </c>
      <c r="F39" s="68">
        <v>20000</v>
      </c>
      <c r="G39" s="178">
        <f>3861616/H9/1000</f>
        <v>5.1903440860215051</v>
      </c>
      <c r="H39" s="108">
        <f t="shared" si="1"/>
        <v>14.809655913978496</v>
      </c>
      <c r="I39" s="109"/>
      <c r="N39" s="110"/>
    </row>
    <row r="40" spans="1:14" x14ac:dyDescent="0.3">
      <c r="A40" s="101"/>
      <c r="B40" s="104" t="s">
        <v>198</v>
      </c>
      <c r="C40" s="104" t="s">
        <v>199</v>
      </c>
      <c r="D40" s="104" t="s">
        <v>168</v>
      </c>
      <c r="E40" s="68" t="s">
        <v>200</v>
      </c>
      <c r="F40" s="68">
        <v>10000</v>
      </c>
      <c r="G40" s="178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198</v>
      </c>
      <c r="C41" s="104" t="s">
        <v>201</v>
      </c>
      <c r="D41" s="104" t="s">
        <v>168</v>
      </c>
      <c r="E41" s="68" t="s">
        <v>202</v>
      </c>
      <c r="F41" s="68">
        <v>10000</v>
      </c>
      <c r="G41" s="178">
        <f>21/H9/1000</f>
        <v>2.8225806451612902E-5</v>
      </c>
      <c r="H41" s="108">
        <f t="shared" si="1"/>
        <v>9.9999717741935488</v>
      </c>
      <c r="I41" s="109"/>
      <c r="N41" s="110"/>
    </row>
    <row r="42" spans="1:14" x14ac:dyDescent="0.3">
      <c r="A42" s="69"/>
      <c r="B42" s="106" t="s">
        <v>203</v>
      </c>
      <c r="C42" s="106"/>
      <c r="D42" s="106"/>
      <c r="E42" s="68"/>
      <c r="F42" s="68"/>
      <c r="G42" s="178"/>
      <c r="H42" s="108"/>
      <c r="I42" s="109"/>
      <c r="N42" s="110"/>
    </row>
    <row r="43" spans="1:14" x14ac:dyDescent="0.3">
      <c r="A43" s="69" t="s">
        <v>205</v>
      </c>
      <c r="B43" s="104" t="s">
        <v>294</v>
      </c>
      <c r="C43" s="104"/>
      <c r="D43" s="104"/>
      <c r="E43" s="68" t="s">
        <v>293</v>
      </c>
      <c r="F43" s="68">
        <v>2500</v>
      </c>
      <c r="G43" s="178">
        <f>260876/H9/1000</f>
        <v>0.35063978494623654</v>
      </c>
      <c r="H43" s="108">
        <f>F43/1000-G43</f>
        <v>2.1493602150537634</v>
      </c>
      <c r="I43" s="109"/>
      <c r="L43" s="112"/>
      <c r="N43" s="110"/>
    </row>
    <row r="44" spans="1:14" x14ac:dyDescent="0.3">
      <c r="A44" s="69"/>
      <c r="B44" s="106" t="s">
        <v>176</v>
      </c>
      <c r="C44" s="106"/>
      <c r="D44" s="106"/>
      <c r="E44" s="68"/>
      <c r="F44" s="68"/>
      <c r="G44" s="178"/>
      <c r="H44" s="108"/>
      <c r="I44" s="109"/>
      <c r="N44" s="110"/>
    </row>
    <row r="45" spans="1:14" x14ac:dyDescent="0.3">
      <c r="A45" s="69" t="s">
        <v>206</v>
      </c>
      <c r="B45" s="104" t="s">
        <v>292</v>
      </c>
      <c r="C45" s="104"/>
      <c r="D45" s="104"/>
      <c r="E45" s="68" t="s">
        <v>295</v>
      </c>
      <c r="F45" s="68">
        <v>6300</v>
      </c>
      <c r="G45" s="178">
        <f>1213416/H9/1000</f>
        <v>1.6309354838709678</v>
      </c>
      <c r="H45" s="108">
        <f>F45/1000-G45</f>
        <v>4.6690645161290316</v>
      </c>
      <c r="I45" s="109"/>
      <c r="N45" s="110"/>
    </row>
    <row r="46" spans="1:14" x14ac:dyDescent="0.3">
      <c r="A46" s="69" t="s">
        <v>209</v>
      </c>
      <c r="B46" s="104" t="s">
        <v>207</v>
      </c>
      <c r="C46" s="104"/>
      <c r="D46" s="104"/>
      <c r="E46" s="68" t="s">
        <v>208</v>
      </c>
      <c r="F46" s="68">
        <v>2500</v>
      </c>
      <c r="G46" s="178">
        <f>8681/H9/1000</f>
        <v>1.1668010752688172E-2</v>
      </c>
      <c r="H46" s="108">
        <f t="shared" ref="H46:H53" si="2">F46/1000-G46</f>
        <v>2.4883319892473117</v>
      </c>
      <c r="I46" s="109"/>
      <c r="N46" s="110"/>
    </row>
    <row r="47" spans="1:14" x14ac:dyDescent="0.3">
      <c r="A47" s="69" t="s">
        <v>212</v>
      </c>
      <c r="B47" s="104" t="s">
        <v>210</v>
      </c>
      <c r="C47" s="104"/>
      <c r="D47" s="104"/>
      <c r="E47" s="68" t="s">
        <v>211</v>
      </c>
      <c r="F47" s="68">
        <v>6300</v>
      </c>
      <c r="G47" s="178">
        <f>339430/H9/1000</f>
        <v>0.45622311827956991</v>
      </c>
      <c r="H47" s="108">
        <f t="shared" si="2"/>
        <v>5.8437768817204301</v>
      </c>
      <c r="I47" s="109"/>
      <c r="N47" s="110"/>
    </row>
    <row r="48" spans="1:14" x14ac:dyDescent="0.3">
      <c r="A48" s="69" t="s">
        <v>215</v>
      </c>
      <c r="B48" s="104" t="s">
        <v>213</v>
      </c>
      <c r="C48" s="104" t="s">
        <v>157</v>
      </c>
      <c r="D48" s="104"/>
      <c r="E48" s="68" t="s">
        <v>168</v>
      </c>
      <c r="F48" s="68">
        <v>2500</v>
      </c>
      <c r="G48" s="178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158</v>
      </c>
      <c r="D49" s="104"/>
      <c r="E49" s="68" t="s">
        <v>214</v>
      </c>
      <c r="F49" s="68">
        <v>2500</v>
      </c>
      <c r="G49" s="178">
        <f>558136/H9/1000</f>
        <v>0.75018279569892465</v>
      </c>
      <c r="H49" s="108">
        <f t="shared" si="2"/>
        <v>1.7498172043010753</v>
      </c>
      <c r="I49" s="109"/>
      <c r="N49" s="110"/>
    </row>
    <row r="50" spans="1:14" x14ac:dyDescent="0.3">
      <c r="A50" s="69" t="s">
        <v>216</v>
      </c>
      <c r="B50" s="104" t="s">
        <v>298</v>
      </c>
      <c r="C50" s="104" t="s">
        <v>157</v>
      </c>
      <c r="D50" s="104"/>
      <c r="E50" s="68">
        <v>6.62</v>
      </c>
      <c r="F50" s="68">
        <v>4000</v>
      </c>
      <c r="G50" s="178">
        <f>323640/H9/1000</f>
        <v>0.435</v>
      </c>
      <c r="H50" s="108">
        <f t="shared" si="2"/>
        <v>3.5649999999999999</v>
      </c>
      <c r="I50" s="109"/>
      <c r="N50" s="110"/>
    </row>
    <row r="51" spans="1:14" x14ac:dyDescent="0.3">
      <c r="A51" s="113"/>
      <c r="B51" s="104" t="s">
        <v>299</v>
      </c>
      <c r="C51" s="104" t="s">
        <v>158</v>
      </c>
      <c r="D51" s="104"/>
      <c r="E51" s="68">
        <v>11.1</v>
      </c>
      <c r="F51" s="68">
        <v>1600</v>
      </c>
      <c r="G51" s="178">
        <f>472000/H9/1000</f>
        <v>0.63440860215053763</v>
      </c>
      <c r="H51" s="108">
        <f>F51/1000-G51</f>
        <v>0.96559139784946246</v>
      </c>
      <c r="I51" s="109"/>
      <c r="N51" s="110"/>
    </row>
    <row r="52" spans="1:14" x14ac:dyDescent="0.3">
      <c r="A52" s="69" t="s">
        <v>218</v>
      </c>
      <c r="B52" s="103" t="s">
        <v>217</v>
      </c>
      <c r="C52" s="104"/>
      <c r="D52" s="104"/>
      <c r="E52" s="68">
        <v>0.4</v>
      </c>
      <c r="F52" s="68">
        <v>250</v>
      </c>
      <c r="G52" s="178">
        <f>(38766)/H9/1000</f>
        <v>5.2104838709677415E-2</v>
      </c>
      <c r="H52" s="108">
        <f t="shared" si="2"/>
        <v>0.19789516129032259</v>
      </c>
      <c r="I52" s="109"/>
      <c r="N52" s="110"/>
    </row>
    <row r="53" spans="1:14" x14ac:dyDescent="0.3">
      <c r="A53" s="163" t="s">
        <v>296</v>
      </c>
      <c r="B53" s="162" t="s">
        <v>300</v>
      </c>
      <c r="C53" s="115"/>
      <c r="D53" s="115"/>
      <c r="E53" s="116">
        <v>0.4</v>
      </c>
      <c r="F53" s="116">
        <v>250</v>
      </c>
      <c r="G53" s="179">
        <f>(5467)/H9/1000</f>
        <v>7.3481182795698922E-3</v>
      </c>
      <c r="H53" s="117">
        <f t="shared" si="2"/>
        <v>0.24265188172043012</v>
      </c>
      <c r="I53" s="109"/>
      <c r="N53" s="110"/>
    </row>
    <row r="54" spans="1:14" x14ac:dyDescent="0.3">
      <c r="A54" s="83"/>
      <c r="B54" s="118"/>
      <c r="C54" s="83"/>
      <c r="D54" s="83"/>
      <c r="E54" s="85"/>
      <c r="F54" s="85"/>
      <c r="G54" s="180"/>
      <c r="H54" s="119"/>
      <c r="I54" s="109"/>
      <c r="N54" s="110"/>
    </row>
    <row r="55" spans="1:14" x14ac:dyDescent="0.3">
      <c r="A55" s="83"/>
      <c r="B55" s="118"/>
      <c r="C55" s="83"/>
      <c r="D55" s="83"/>
      <c r="E55" s="85"/>
      <c r="F55" s="85"/>
      <c r="G55" s="180"/>
      <c r="H55" s="119"/>
      <c r="I55" s="109"/>
      <c r="N55" s="110"/>
    </row>
    <row r="56" spans="1:14" x14ac:dyDescent="0.3">
      <c r="C56" s="120"/>
      <c r="E56" s="120"/>
      <c r="H56" s="70"/>
    </row>
    <row r="57" spans="1:14" ht="18" x14ac:dyDescent="0.35">
      <c r="C57" s="121"/>
      <c r="D57" s="122"/>
      <c r="E57" s="120"/>
      <c r="G57" s="196" t="s">
        <v>219</v>
      </c>
      <c r="H57" s="196"/>
    </row>
    <row r="58" spans="1:14" x14ac:dyDescent="0.3">
      <c r="B58" s="197" t="s">
        <v>220</v>
      </c>
      <c r="C58" s="198"/>
      <c r="D58" s="198"/>
      <c r="E58" s="198"/>
      <c r="F58" s="198"/>
      <c r="G58" s="198"/>
      <c r="H58" s="198"/>
    </row>
    <row r="59" spans="1:14" ht="18" x14ac:dyDescent="0.35">
      <c r="B59" s="123"/>
      <c r="C59" s="124"/>
      <c r="D59" s="123" t="s">
        <v>221</v>
      </c>
      <c r="E59" s="120"/>
      <c r="G59" s="199" t="str">
        <f>G5</f>
        <v>за январь 2025г.</v>
      </c>
      <c r="H59" s="199"/>
    </row>
    <row r="60" spans="1:14" x14ac:dyDescent="0.3">
      <c r="A60" s="189" t="s">
        <v>133</v>
      </c>
      <c r="B60" s="189" t="s">
        <v>222</v>
      </c>
      <c r="C60" s="125" t="s">
        <v>223</v>
      </c>
      <c r="D60" s="189" t="s">
        <v>224</v>
      </c>
      <c r="E60" s="125" t="s">
        <v>225</v>
      </c>
      <c r="F60" s="126" t="s">
        <v>226</v>
      </c>
      <c r="G60" s="191" t="s">
        <v>227</v>
      </c>
      <c r="H60" s="127" t="s">
        <v>228</v>
      </c>
    </row>
    <row r="61" spans="1:14" x14ac:dyDescent="0.3">
      <c r="A61" s="190"/>
      <c r="B61" s="190"/>
      <c r="C61" s="128" t="s">
        <v>229</v>
      </c>
      <c r="D61" s="190"/>
      <c r="E61" s="128" t="s">
        <v>230</v>
      </c>
      <c r="F61" s="129" t="s">
        <v>231</v>
      </c>
      <c r="G61" s="192"/>
      <c r="H61" s="128" t="s">
        <v>138</v>
      </c>
    </row>
    <row r="62" spans="1:14" x14ac:dyDescent="0.3">
      <c r="A62" s="130"/>
      <c r="B62" s="130"/>
      <c r="C62" s="71" t="s">
        <v>232</v>
      </c>
      <c r="D62" s="71" t="s">
        <v>233</v>
      </c>
      <c r="E62" s="71" t="s">
        <v>139</v>
      </c>
      <c r="F62" s="131" t="s">
        <v>141</v>
      </c>
      <c r="G62" s="182" t="s">
        <v>141</v>
      </c>
      <c r="H62" s="71" t="s">
        <v>141</v>
      </c>
    </row>
    <row r="63" spans="1:14" x14ac:dyDescent="0.3">
      <c r="A63" s="132"/>
      <c r="B63" s="133" t="s">
        <v>234</v>
      </c>
      <c r="C63" s="134"/>
      <c r="D63" s="133"/>
      <c r="E63" s="134"/>
      <c r="F63" s="135"/>
      <c r="G63" s="182"/>
      <c r="H63" s="71"/>
    </row>
    <row r="64" spans="1:14" x14ac:dyDescent="0.3">
      <c r="A64" s="136" t="s">
        <v>145</v>
      </c>
      <c r="B64" s="137" t="s">
        <v>235</v>
      </c>
      <c r="C64" s="138"/>
      <c r="D64" s="137"/>
      <c r="E64" s="138"/>
      <c r="F64" s="139"/>
      <c r="G64" s="183"/>
      <c r="H64" s="140">
        <f>H9</f>
        <v>744</v>
      </c>
    </row>
    <row r="65" spans="1:16" x14ac:dyDescent="0.3">
      <c r="A65" s="69"/>
      <c r="B65" s="104" t="s">
        <v>236</v>
      </c>
      <c r="C65" s="68">
        <v>176.7</v>
      </c>
      <c r="D65" s="104" t="s">
        <v>237</v>
      </c>
      <c r="E65" s="68">
        <v>110</v>
      </c>
      <c r="F65" s="68">
        <v>56.5</v>
      </c>
      <c r="G65" s="178">
        <f>4233042/H64/1000</f>
        <v>5.6895725806451614</v>
      </c>
      <c r="H65" s="141">
        <f>F65-G65</f>
        <v>50.810427419354838</v>
      </c>
    </row>
    <row r="66" spans="1:16" x14ac:dyDescent="0.3">
      <c r="A66" s="69"/>
      <c r="B66" s="104" t="s">
        <v>238</v>
      </c>
      <c r="C66" s="68">
        <v>176.7</v>
      </c>
      <c r="D66" s="104" t="s">
        <v>237</v>
      </c>
      <c r="E66" s="68">
        <v>110</v>
      </c>
      <c r="F66" s="68">
        <v>56.5</v>
      </c>
      <c r="G66" s="178">
        <f>7406784/H64/1000</f>
        <v>9.9553548387096775</v>
      </c>
      <c r="H66" s="141">
        <f t="shared" ref="H66:H107" si="3">F66-G66</f>
        <v>46.544645161290319</v>
      </c>
    </row>
    <row r="67" spans="1:16" x14ac:dyDescent="0.3">
      <c r="A67" s="69" t="s">
        <v>152</v>
      </c>
      <c r="B67" s="106" t="s">
        <v>239</v>
      </c>
      <c r="C67" s="142"/>
      <c r="D67" s="106"/>
      <c r="E67" s="142"/>
      <c r="F67" s="68"/>
      <c r="G67" s="178"/>
      <c r="H67" s="141"/>
    </row>
    <row r="68" spans="1:16" x14ac:dyDescent="0.3">
      <c r="A68" s="69"/>
      <c r="B68" s="104" t="s">
        <v>240</v>
      </c>
      <c r="C68" s="68">
        <v>10.26</v>
      </c>
      <c r="D68" s="104" t="s">
        <v>241</v>
      </c>
      <c r="E68" s="68">
        <v>110</v>
      </c>
      <c r="F68" s="68">
        <v>56.5</v>
      </c>
      <c r="G68" s="178">
        <f>(5841000-1925000)/H64/1000</f>
        <v>5.2634408602150531</v>
      </c>
      <c r="H68" s="141">
        <f t="shared" si="3"/>
        <v>51.236559139784944</v>
      </c>
      <c r="N68" s="143"/>
    </row>
    <row r="69" spans="1:16" x14ac:dyDescent="0.3">
      <c r="A69" s="69"/>
      <c r="B69" s="104" t="s">
        <v>242</v>
      </c>
      <c r="C69" s="68">
        <v>10.054</v>
      </c>
      <c r="D69" s="104" t="s">
        <v>241</v>
      </c>
      <c r="E69" s="68">
        <v>110</v>
      </c>
      <c r="F69" s="68">
        <v>56.5</v>
      </c>
      <c r="G69" s="178">
        <f>(7546000-2490000)/H64/1000</f>
        <v>6.795698924731183</v>
      </c>
      <c r="H69" s="141">
        <f t="shared" si="3"/>
        <v>49.704301075268816</v>
      </c>
      <c r="I69" s="109"/>
      <c r="N69" s="165"/>
    </row>
    <row r="70" spans="1:16" x14ac:dyDescent="0.3">
      <c r="A70" s="69" t="s">
        <v>155</v>
      </c>
      <c r="B70" s="106" t="s">
        <v>243</v>
      </c>
      <c r="C70" s="142"/>
      <c r="D70" s="106"/>
      <c r="E70" s="142"/>
      <c r="F70" s="68"/>
      <c r="G70" s="178"/>
      <c r="H70" s="141">
        <f t="shared" si="3"/>
        <v>0</v>
      </c>
    </row>
    <row r="71" spans="1:16" x14ac:dyDescent="0.3">
      <c r="A71" s="69"/>
      <c r="B71" s="104" t="s">
        <v>244</v>
      </c>
      <c r="C71" s="68">
        <v>114.9</v>
      </c>
      <c r="D71" s="104" t="s">
        <v>245</v>
      </c>
      <c r="E71" s="68">
        <v>35</v>
      </c>
      <c r="F71" s="68">
        <v>11.4</v>
      </c>
      <c r="G71" s="178">
        <f>115339/H64/1000</f>
        <v>0.1550255376344086</v>
      </c>
      <c r="H71" s="141">
        <f t="shared" si="3"/>
        <v>11.244974462365592</v>
      </c>
      <c r="N71" s="164"/>
      <c r="O71" s="164"/>
      <c r="P71" s="164"/>
    </row>
    <row r="72" spans="1:16" x14ac:dyDescent="0.3">
      <c r="A72" s="69"/>
      <c r="B72" s="104" t="s">
        <v>246</v>
      </c>
      <c r="C72" s="68">
        <v>67.099999999999994</v>
      </c>
      <c r="D72" s="104" t="s">
        <v>247</v>
      </c>
      <c r="E72" s="68">
        <v>35</v>
      </c>
      <c r="F72" s="68">
        <v>14.4</v>
      </c>
      <c r="G72" s="178">
        <f>64838/H64/1000</f>
        <v>8.714784946236559E-2</v>
      </c>
      <c r="H72" s="141">
        <f t="shared" si="3"/>
        <v>14.312852150537635</v>
      </c>
    </row>
    <row r="73" spans="1:16" x14ac:dyDescent="0.3">
      <c r="A73" s="69"/>
      <c r="B73" s="104" t="s">
        <v>248</v>
      </c>
      <c r="C73" s="68">
        <v>27.2</v>
      </c>
      <c r="D73" s="104" t="s">
        <v>249</v>
      </c>
      <c r="E73" s="68">
        <v>35</v>
      </c>
      <c r="F73" s="68">
        <v>11.4</v>
      </c>
      <c r="G73" s="178">
        <f>564238/H64/1000</f>
        <v>0.75838440860215051</v>
      </c>
      <c r="H73" s="141">
        <f t="shared" si="3"/>
        <v>10.64161559139785</v>
      </c>
    </row>
    <row r="74" spans="1:16" x14ac:dyDescent="0.3">
      <c r="A74" s="69"/>
      <c r="B74" s="104" t="s">
        <v>250</v>
      </c>
      <c r="C74" s="68">
        <v>52.7</v>
      </c>
      <c r="D74" s="104" t="s">
        <v>241</v>
      </c>
      <c r="E74" s="68">
        <v>35</v>
      </c>
      <c r="F74" s="68">
        <v>17.899999999999999</v>
      </c>
      <c r="G74" s="178">
        <f>(321580+1106931)/H64/1000</f>
        <v>1.9200416666666666</v>
      </c>
      <c r="H74" s="141">
        <f t="shared" si="3"/>
        <v>15.979958333333332</v>
      </c>
    </row>
    <row r="75" spans="1:16" x14ac:dyDescent="0.3">
      <c r="A75" s="69"/>
      <c r="B75" s="104" t="s">
        <v>251</v>
      </c>
      <c r="C75" s="68">
        <v>4.82</v>
      </c>
      <c r="D75" s="104" t="s">
        <v>252</v>
      </c>
      <c r="E75" s="68">
        <v>35</v>
      </c>
      <c r="F75" s="68">
        <v>17.899999999999999</v>
      </c>
      <c r="G75" s="178">
        <f>930332/H64/1000</f>
        <v>1.2504462365591398</v>
      </c>
      <c r="H75" s="141">
        <f t="shared" si="3"/>
        <v>16.64955376344086</v>
      </c>
    </row>
    <row r="76" spans="1:16" x14ac:dyDescent="0.3">
      <c r="A76" s="69"/>
      <c r="B76" s="104" t="s">
        <v>253</v>
      </c>
      <c r="C76" s="68">
        <v>4.82</v>
      </c>
      <c r="D76" s="104" t="s">
        <v>252</v>
      </c>
      <c r="E76" s="68">
        <v>35</v>
      </c>
      <c r="F76" s="68">
        <v>17.899999999999999</v>
      </c>
      <c r="G76" s="178">
        <f>14616/H64/1000</f>
        <v>1.964516129032258E-2</v>
      </c>
      <c r="H76" s="141">
        <f t="shared" si="3"/>
        <v>17.880354838709675</v>
      </c>
    </row>
    <row r="77" spans="1:16" x14ac:dyDescent="0.3">
      <c r="A77" s="69"/>
      <c r="B77" s="104" t="s">
        <v>254</v>
      </c>
      <c r="C77" s="68">
        <v>22</v>
      </c>
      <c r="D77" s="104" t="s">
        <v>247</v>
      </c>
      <c r="E77" s="68">
        <v>35</v>
      </c>
      <c r="F77" s="68">
        <v>17.899999999999999</v>
      </c>
      <c r="G77" s="178">
        <f>366870/H64/1000</f>
        <v>0.49310483870967742</v>
      </c>
      <c r="H77" s="141">
        <f t="shared" si="3"/>
        <v>17.406895161290322</v>
      </c>
    </row>
    <row r="78" spans="1:16" x14ac:dyDescent="0.3">
      <c r="A78" s="69"/>
      <c r="B78" s="104" t="s">
        <v>255</v>
      </c>
      <c r="C78" s="68">
        <v>22</v>
      </c>
      <c r="D78" s="104" t="s">
        <v>247</v>
      </c>
      <c r="E78" s="68">
        <v>35</v>
      </c>
      <c r="F78" s="68">
        <v>17.899999999999999</v>
      </c>
      <c r="G78" s="178">
        <f>392795/H64/1000</f>
        <v>0.5279502688172043</v>
      </c>
      <c r="H78" s="141">
        <f t="shared" si="3"/>
        <v>17.372049731182795</v>
      </c>
    </row>
    <row r="79" spans="1:16" x14ac:dyDescent="0.3">
      <c r="A79" s="69" t="s">
        <v>159</v>
      </c>
      <c r="B79" s="106" t="s">
        <v>256</v>
      </c>
      <c r="C79" s="142"/>
      <c r="D79" s="106"/>
      <c r="E79" s="68"/>
      <c r="F79" s="68"/>
      <c r="G79" s="178"/>
      <c r="H79" s="141"/>
    </row>
    <row r="80" spans="1:16" x14ac:dyDescent="0.3">
      <c r="A80" s="69"/>
      <c r="B80" s="104" t="s">
        <v>257</v>
      </c>
      <c r="C80" s="68">
        <v>33.549999999999997</v>
      </c>
      <c r="D80" s="104" t="s">
        <v>245</v>
      </c>
      <c r="E80" s="68">
        <v>35</v>
      </c>
      <c r="F80" s="68">
        <v>9.5</v>
      </c>
      <c r="G80" s="178">
        <f>277960/H64/1000</f>
        <v>0.3736021505376344</v>
      </c>
      <c r="H80" s="141">
        <f t="shared" si="3"/>
        <v>9.1263978494623661</v>
      </c>
    </row>
    <row r="81" spans="1:9" x14ac:dyDescent="0.3">
      <c r="A81" s="69"/>
      <c r="B81" s="104" t="s">
        <v>258</v>
      </c>
      <c r="C81" s="68">
        <v>27.7</v>
      </c>
      <c r="D81" s="104" t="s">
        <v>247</v>
      </c>
      <c r="E81" s="68">
        <v>35</v>
      </c>
      <c r="F81" s="68">
        <v>9.5</v>
      </c>
      <c r="G81" s="178">
        <f>81134/H64/1000</f>
        <v>0.1090510752688172</v>
      </c>
      <c r="H81" s="141">
        <f t="shared" si="3"/>
        <v>9.3909489247311821</v>
      </c>
    </row>
    <row r="82" spans="1:9" x14ac:dyDescent="0.3">
      <c r="A82" s="69"/>
      <c r="B82" s="104" t="s">
        <v>259</v>
      </c>
      <c r="C82" s="68">
        <v>18.62</v>
      </c>
      <c r="D82" s="104" t="s">
        <v>249</v>
      </c>
      <c r="E82" s="68">
        <v>35</v>
      </c>
      <c r="F82" s="68">
        <v>11.4</v>
      </c>
      <c r="G82" s="178">
        <f>318353/H64/1000</f>
        <v>0.42789381720430109</v>
      </c>
      <c r="H82" s="141">
        <f t="shared" si="3"/>
        <v>10.972106182795699</v>
      </c>
    </row>
    <row r="83" spans="1:9" x14ac:dyDescent="0.3">
      <c r="A83" s="69" t="s">
        <v>163</v>
      </c>
      <c r="B83" s="106" t="s">
        <v>260</v>
      </c>
      <c r="C83" s="142"/>
      <c r="D83" s="106"/>
      <c r="E83" s="68"/>
      <c r="F83" s="68"/>
      <c r="G83" s="178"/>
      <c r="H83" s="141"/>
    </row>
    <row r="84" spans="1:9" x14ac:dyDescent="0.3">
      <c r="A84" s="69"/>
      <c r="B84" s="104" t="s">
        <v>261</v>
      </c>
      <c r="C84" s="68">
        <v>22.5</v>
      </c>
      <c r="D84" s="104" t="s">
        <v>262</v>
      </c>
      <c r="E84" s="68">
        <v>35</v>
      </c>
      <c r="F84" s="68">
        <v>20.7</v>
      </c>
      <c r="G84" s="178">
        <f>110754/H64/1000</f>
        <v>0.14886290322580648</v>
      </c>
      <c r="H84" s="141">
        <f t="shared" si="3"/>
        <v>20.551137096774191</v>
      </c>
    </row>
    <row r="85" spans="1:9" x14ac:dyDescent="0.3">
      <c r="A85" s="69"/>
      <c r="B85" s="104" t="s">
        <v>263</v>
      </c>
      <c r="C85" s="68">
        <v>19.690000000000001</v>
      </c>
      <c r="D85" s="104" t="s">
        <v>241</v>
      </c>
      <c r="E85" s="68">
        <v>35</v>
      </c>
      <c r="F85" s="68">
        <v>20.7</v>
      </c>
      <c r="G85" s="178">
        <f>1922844/H64/1000</f>
        <v>2.5844677419354838</v>
      </c>
      <c r="H85" s="141">
        <f t="shared" si="3"/>
        <v>18.115532258064516</v>
      </c>
    </row>
    <row r="86" spans="1:9" x14ac:dyDescent="0.3">
      <c r="A86" s="69" t="s">
        <v>167</v>
      </c>
      <c r="B86" s="106" t="s">
        <v>264</v>
      </c>
      <c r="C86" s="142"/>
      <c r="D86" s="106"/>
      <c r="E86" s="68"/>
      <c r="F86" s="68"/>
      <c r="G86" s="178"/>
      <c r="H86" s="141"/>
    </row>
    <row r="87" spans="1:9" x14ac:dyDescent="0.3">
      <c r="A87" s="69"/>
      <c r="B87" s="104" t="s">
        <v>265</v>
      </c>
      <c r="C87" s="68">
        <v>11.2</v>
      </c>
      <c r="D87" s="104" t="s">
        <v>249</v>
      </c>
      <c r="E87" s="68">
        <v>35</v>
      </c>
      <c r="F87" s="68">
        <v>11.4</v>
      </c>
      <c r="G87" s="178">
        <f>319762/H64/1000</f>
        <v>0.42978763440860218</v>
      </c>
      <c r="H87" s="141">
        <f t="shared" si="3"/>
        <v>10.970212365591399</v>
      </c>
    </row>
    <row r="88" spans="1:9" hidden="1" x14ac:dyDescent="0.3">
      <c r="A88" s="69"/>
      <c r="B88" s="104" t="s">
        <v>266</v>
      </c>
      <c r="C88" s="68">
        <v>12.6</v>
      </c>
      <c r="D88" s="104" t="s">
        <v>249</v>
      </c>
      <c r="E88" s="68">
        <v>35</v>
      </c>
      <c r="F88" s="68">
        <v>11.4</v>
      </c>
      <c r="G88" s="178">
        <v>0</v>
      </c>
      <c r="H88" s="141">
        <f t="shared" si="3"/>
        <v>11.4</v>
      </c>
    </row>
    <row r="89" spans="1:9" x14ac:dyDescent="0.3">
      <c r="A89" s="69" t="s">
        <v>170</v>
      </c>
      <c r="B89" s="106" t="s">
        <v>267</v>
      </c>
      <c r="C89" s="142"/>
      <c r="D89" s="106"/>
      <c r="E89" s="68"/>
      <c r="F89" s="68"/>
      <c r="G89" s="178"/>
      <c r="H89" s="141">
        <f>F89-G89</f>
        <v>0</v>
      </c>
    </row>
    <row r="90" spans="1:9" x14ac:dyDescent="0.3">
      <c r="A90" s="69"/>
      <c r="B90" s="104" t="s">
        <v>268</v>
      </c>
      <c r="C90" s="68">
        <v>13.5</v>
      </c>
      <c r="D90" s="104" t="s">
        <v>247</v>
      </c>
      <c r="E90" s="68">
        <v>35</v>
      </c>
      <c r="F90" s="68">
        <v>14.4</v>
      </c>
      <c r="G90" s="178">
        <f>201029/H64/1000</f>
        <v>0.27020026881720427</v>
      </c>
      <c r="H90" s="141">
        <f t="shared" si="3"/>
        <v>14.129799731182796</v>
      </c>
    </row>
    <row r="91" spans="1:9" x14ac:dyDescent="0.3">
      <c r="A91" s="69" t="s">
        <v>173</v>
      </c>
      <c r="B91" s="106" t="s">
        <v>269</v>
      </c>
      <c r="C91" s="142"/>
      <c r="D91" s="106"/>
      <c r="E91" s="142"/>
      <c r="F91" s="68"/>
      <c r="G91" s="178"/>
      <c r="H91" s="141"/>
    </row>
    <row r="92" spans="1:9" x14ac:dyDescent="0.3">
      <c r="A92" s="69"/>
      <c r="B92" s="104" t="s">
        <v>270</v>
      </c>
      <c r="C92" s="68">
        <v>42</v>
      </c>
      <c r="D92" s="104" t="s">
        <v>241</v>
      </c>
      <c r="E92" s="68">
        <v>110</v>
      </c>
      <c r="F92" s="68">
        <v>56.5</v>
      </c>
      <c r="G92" s="178">
        <f>318306/H64/1000</f>
        <v>0.42783064516129032</v>
      </c>
      <c r="H92" s="141">
        <f t="shared" si="3"/>
        <v>56.072169354838707</v>
      </c>
      <c r="I92" s="161"/>
    </row>
    <row r="93" spans="1:9" x14ac:dyDescent="0.3">
      <c r="A93" s="69"/>
      <c r="B93" s="104" t="s">
        <v>271</v>
      </c>
      <c r="C93" s="68">
        <v>63.2</v>
      </c>
      <c r="D93" s="104" t="s">
        <v>262</v>
      </c>
      <c r="E93" s="68">
        <v>110</v>
      </c>
      <c r="F93" s="111">
        <v>65</v>
      </c>
      <c r="G93" s="178">
        <f>282294/H64/1000</f>
        <v>0.3794274193548387</v>
      </c>
      <c r="H93" s="141">
        <f t="shared" si="3"/>
        <v>64.62057258064516</v>
      </c>
      <c r="I93" s="161"/>
    </row>
    <row r="94" spans="1:9" x14ac:dyDescent="0.3">
      <c r="A94" s="69"/>
      <c r="B94" s="104" t="s">
        <v>272</v>
      </c>
      <c r="C94" s="68">
        <v>49</v>
      </c>
      <c r="D94" s="104" t="s">
        <v>273</v>
      </c>
      <c r="E94" s="68">
        <v>35</v>
      </c>
      <c r="F94" s="68">
        <v>11.4</v>
      </c>
      <c r="G94" s="178">
        <f>16982/H64/1000</f>
        <v>2.28252688172043E-2</v>
      </c>
      <c r="H94" s="141">
        <f t="shared" si="3"/>
        <v>11.377174731182796</v>
      </c>
      <c r="I94" s="161"/>
    </row>
    <row r="95" spans="1:9" x14ac:dyDescent="0.3">
      <c r="A95" s="69" t="s">
        <v>177</v>
      </c>
      <c r="B95" s="106" t="s">
        <v>274</v>
      </c>
      <c r="C95" s="142"/>
      <c r="D95" s="106"/>
      <c r="E95" s="68"/>
      <c r="F95" s="68"/>
      <c r="G95" s="178"/>
      <c r="H95" s="141"/>
    </row>
    <row r="96" spans="1:9" x14ac:dyDescent="0.3">
      <c r="A96" s="69"/>
      <c r="B96" s="104" t="s">
        <v>275</v>
      </c>
      <c r="C96" s="68">
        <v>75.2</v>
      </c>
      <c r="D96" s="104" t="s">
        <v>247</v>
      </c>
      <c r="E96" s="68">
        <v>35</v>
      </c>
      <c r="F96" s="68">
        <v>11.4</v>
      </c>
      <c r="G96" s="178">
        <f>248556/H64/1000</f>
        <v>0.33408064516129032</v>
      </c>
      <c r="H96" s="141">
        <f t="shared" si="3"/>
        <v>11.06591935483871</v>
      </c>
    </row>
    <row r="97" spans="1:9" x14ac:dyDescent="0.3">
      <c r="A97" s="69" t="s">
        <v>180</v>
      </c>
      <c r="B97" s="106" t="s">
        <v>276</v>
      </c>
      <c r="C97" s="142"/>
      <c r="D97" s="106"/>
      <c r="E97" s="68"/>
      <c r="F97" s="68"/>
      <c r="G97" s="178"/>
      <c r="H97" s="141"/>
    </row>
    <row r="98" spans="1:9" x14ac:dyDescent="0.3">
      <c r="A98" s="69"/>
      <c r="B98" s="104" t="s">
        <v>277</v>
      </c>
      <c r="C98" s="68">
        <v>56.26</v>
      </c>
      <c r="D98" s="104" t="s">
        <v>241</v>
      </c>
      <c r="E98" s="68">
        <v>35</v>
      </c>
      <c r="F98" s="68">
        <v>56.5</v>
      </c>
      <c r="G98" s="178">
        <f>97986/H64/1000</f>
        <v>0.1317016129032258</v>
      </c>
      <c r="H98" s="141">
        <f t="shared" si="3"/>
        <v>56.368298387096772</v>
      </c>
    </row>
    <row r="99" spans="1:9" x14ac:dyDescent="0.3">
      <c r="A99" s="69"/>
      <c r="B99" s="104" t="s">
        <v>278</v>
      </c>
      <c r="C99" s="68">
        <v>75.5</v>
      </c>
      <c r="D99" s="104" t="s">
        <v>237</v>
      </c>
      <c r="E99" s="68">
        <v>110</v>
      </c>
      <c r="F99" s="68">
        <v>56.5</v>
      </c>
      <c r="G99" s="178">
        <f>1239810/H64/1000</f>
        <v>1.6664112903225807</v>
      </c>
      <c r="H99" s="141">
        <f t="shared" si="3"/>
        <v>54.833588709677421</v>
      </c>
    </row>
    <row r="100" spans="1:9" x14ac:dyDescent="0.3">
      <c r="A100" s="69"/>
      <c r="B100" s="104" t="s">
        <v>279</v>
      </c>
      <c r="C100" s="68">
        <v>95.9</v>
      </c>
      <c r="D100" s="104" t="s">
        <v>273</v>
      </c>
      <c r="E100" s="68">
        <v>35</v>
      </c>
      <c r="F100" s="68">
        <v>11.4</v>
      </c>
      <c r="G100" s="178">
        <f>103341/H64/1000</f>
        <v>0.13889919354838709</v>
      </c>
      <c r="H100" s="141">
        <f t="shared" si="3"/>
        <v>11.261100806451614</v>
      </c>
    </row>
    <row r="101" spans="1:9" x14ac:dyDescent="0.3">
      <c r="A101" s="69" t="s">
        <v>182</v>
      </c>
      <c r="B101" s="106" t="s">
        <v>280</v>
      </c>
      <c r="C101" s="142"/>
      <c r="D101" s="106"/>
      <c r="E101" s="68"/>
      <c r="F101" s="68"/>
      <c r="G101" s="178"/>
      <c r="H101" s="141"/>
    </row>
    <row r="102" spans="1:9" x14ac:dyDescent="0.3">
      <c r="A102" s="69"/>
      <c r="B102" s="104" t="s">
        <v>279</v>
      </c>
      <c r="C102" s="68">
        <v>43.3</v>
      </c>
      <c r="D102" s="104" t="s">
        <v>241</v>
      </c>
      <c r="E102" s="68">
        <v>35</v>
      </c>
      <c r="F102" s="68">
        <v>17.899999999999999</v>
      </c>
      <c r="G102" s="178">
        <f>54726/H64/1000</f>
        <v>7.3556451612903237E-2</v>
      </c>
      <c r="H102" s="141">
        <f t="shared" si="3"/>
        <v>17.826443548387097</v>
      </c>
    </row>
    <row r="103" spans="1:9" x14ac:dyDescent="0.3">
      <c r="A103" s="69" t="s">
        <v>186</v>
      </c>
      <c r="B103" s="106" t="s">
        <v>281</v>
      </c>
      <c r="C103" s="142"/>
      <c r="D103" s="106"/>
      <c r="E103" s="68"/>
      <c r="F103" s="68"/>
      <c r="G103" s="178"/>
      <c r="H103" s="141"/>
    </row>
    <row r="104" spans="1:9" x14ac:dyDescent="0.3">
      <c r="A104" s="69"/>
      <c r="B104" s="104" t="s">
        <v>282</v>
      </c>
      <c r="C104" s="68">
        <v>42</v>
      </c>
      <c r="D104" s="104" t="s">
        <v>247</v>
      </c>
      <c r="E104" s="68">
        <v>35</v>
      </c>
      <c r="F104" s="68">
        <v>14.4</v>
      </c>
      <c r="G104" s="178">
        <v>0</v>
      </c>
      <c r="H104" s="141">
        <f t="shared" si="3"/>
        <v>14.4</v>
      </c>
      <c r="I104" s="161"/>
    </row>
    <row r="105" spans="1:9" x14ac:dyDescent="0.3">
      <c r="A105" s="69"/>
      <c r="B105" s="104" t="s">
        <v>283</v>
      </c>
      <c r="C105" s="68">
        <v>37</v>
      </c>
      <c r="D105" s="104" t="s">
        <v>247</v>
      </c>
      <c r="E105" s="68">
        <v>35</v>
      </c>
      <c r="F105" s="68">
        <v>14.4</v>
      </c>
      <c r="G105" s="178">
        <f>35875/H64/1000</f>
        <v>4.8219086021505375E-2</v>
      </c>
      <c r="H105" s="141">
        <f t="shared" si="3"/>
        <v>14.351780913978494</v>
      </c>
    </row>
    <row r="106" spans="1:9" x14ac:dyDescent="0.3">
      <c r="A106" s="69"/>
      <c r="B106" s="104" t="s">
        <v>278</v>
      </c>
      <c r="C106" s="68"/>
      <c r="D106" s="104" t="s">
        <v>247</v>
      </c>
      <c r="E106" s="68">
        <v>35</v>
      </c>
      <c r="F106" s="68">
        <v>14.4</v>
      </c>
      <c r="G106" s="178">
        <f>896763/H64/1000</f>
        <v>1.2053266129032258</v>
      </c>
      <c r="H106" s="141">
        <f t="shared" si="3"/>
        <v>13.194673387096774</v>
      </c>
    </row>
    <row r="107" spans="1:9" x14ac:dyDescent="0.3">
      <c r="A107" s="114"/>
      <c r="B107" s="115" t="s">
        <v>284</v>
      </c>
      <c r="C107" s="116">
        <v>91</v>
      </c>
      <c r="D107" s="115" t="s">
        <v>285</v>
      </c>
      <c r="E107" s="116">
        <v>35</v>
      </c>
      <c r="F107" s="116">
        <v>17.899999999999999</v>
      </c>
      <c r="G107" s="179">
        <f>184415/H64/1000</f>
        <v>0.24786962365591397</v>
      </c>
      <c r="H107" s="144">
        <f t="shared" si="3"/>
        <v>17.652130376344086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workbookViewId="0">
      <selection activeCell="A12" sqref="A12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3" customWidth="1"/>
    <col min="8" max="8" width="16.44140625" style="4" customWidth="1"/>
    <col min="9" max="16384" width="9.109375" style="1"/>
  </cols>
  <sheetData>
    <row r="1" spans="1:8" x14ac:dyDescent="0.3">
      <c r="A1" s="200" t="s">
        <v>0</v>
      </c>
      <c r="B1" s="200"/>
      <c r="C1" s="200"/>
      <c r="D1" s="200"/>
      <c r="E1" s="200"/>
      <c r="F1" s="200"/>
      <c r="G1" s="200"/>
      <c r="H1" s="200"/>
    </row>
    <row r="2" spans="1:8" x14ac:dyDescent="0.3">
      <c r="A2" s="200" t="s">
        <v>1</v>
      </c>
      <c r="B2" s="200"/>
      <c r="C2" s="200"/>
      <c r="D2" s="200"/>
      <c r="E2" s="200"/>
      <c r="F2" s="200"/>
      <c r="G2" s="200"/>
      <c r="H2" s="200"/>
    </row>
    <row r="4" spans="1:8" x14ac:dyDescent="0.3">
      <c r="A4" s="200" t="s">
        <v>2</v>
      </c>
      <c r="B4" s="200"/>
      <c r="C4" s="200"/>
      <c r="D4" s="200"/>
      <c r="E4" s="200"/>
      <c r="F4" s="200"/>
      <c r="G4" s="200"/>
      <c r="H4" s="200"/>
    </row>
    <row r="6" spans="1:8" x14ac:dyDescent="0.3">
      <c r="A6" s="200" t="s">
        <v>3</v>
      </c>
      <c r="B6" s="200"/>
      <c r="C6" s="200"/>
      <c r="D6" s="200"/>
      <c r="E6" s="200"/>
      <c r="F6" s="200"/>
      <c r="G6" s="200"/>
      <c r="H6" s="200"/>
    </row>
    <row r="7" spans="1:8" x14ac:dyDescent="0.3">
      <c r="B7" s="146" t="s">
        <v>301</v>
      </c>
    </row>
    <row r="8" spans="1:8" s="7" customFormat="1" ht="46.8" x14ac:dyDescent="0.3">
      <c r="A8" s="147" t="s">
        <v>4</v>
      </c>
      <c r="B8" s="147" t="s">
        <v>5</v>
      </c>
      <c r="C8" s="147" t="s">
        <v>6</v>
      </c>
      <c r="D8" s="147" t="s">
        <v>7</v>
      </c>
      <c r="E8" s="147" t="s">
        <v>8</v>
      </c>
      <c r="F8" s="147" t="s">
        <v>9</v>
      </c>
      <c r="G8" s="6" t="s">
        <v>289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4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5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5">
        <f>30975/744000</f>
        <v>4.1633064516129033E-2</v>
      </c>
      <c r="H11" s="19">
        <f>F11/1000-G11</f>
        <v>2.4583669354838711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4">
        <f>3544926/744000</f>
        <v>4.7646854838709674</v>
      </c>
      <c r="H12" s="11">
        <f t="shared" ref="H12:H49" si="0">F12/1000-G12</f>
        <v>11.235314516129034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1846614/744000</f>
        <v>2.4820080645161289</v>
      </c>
      <c r="H13" s="19">
        <f t="shared" si="0"/>
        <v>13.51799193548387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6">
        <f>129720/744000</f>
        <v>0.17435483870967741</v>
      </c>
      <c r="H14" s="25">
        <f t="shared" si="0"/>
        <v>9.8256451612903231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57">
        <f>94300/744000</f>
        <v>0.12674731182795698</v>
      </c>
      <c r="H15" s="29">
        <f t="shared" si="0"/>
        <v>9.8732526881720428</v>
      </c>
    </row>
    <row r="16" spans="1:8" x14ac:dyDescent="0.3">
      <c r="A16" s="8">
        <v>5</v>
      </c>
      <c r="B16" s="9" t="s">
        <v>24</v>
      </c>
      <c r="C16" s="10" t="s">
        <v>12</v>
      </c>
      <c r="D16" s="151" t="s">
        <v>20</v>
      </c>
      <c r="E16" s="8" t="s">
        <v>21</v>
      </c>
      <c r="F16" s="10">
        <v>40000</v>
      </c>
      <c r="G16" s="154">
        <f>2807816/744000</f>
        <v>3.7739462365591399</v>
      </c>
      <c r="H16" s="33">
        <f t="shared" si="0"/>
        <v>36.226053763440859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(2662548+23800+16640)/744000</f>
        <v>3.6330483870967742</v>
      </c>
      <c r="H17" s="19">
        <f t="shared" si="0"/>
        <v>2.6669516129032256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160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5">
        <f>110580/744000</f>
        <v>0.14862903225806451</v>
      </c>
      <c r="H19" s="15">
        <f>F19/1000-G19</f>
        <v>19.851370967741936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0/744000</f>
        <v>0</v>
      </c>
      <c r="H20" s="19">
        <f t="shared" si="0"/>
        <v>10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31">
        <f>396000/744000</f>
        <v>0.532258064516129</v>
      </c>
      <c r="H21" s="36">
        <f t="shared" si="0"/>
        <v>15.467741935483872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36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57">
        <f>67500/744000</f>
        <v>9.0725806451612906E-2</v>
      </c>
      <c r="H23" s="29">
        <f t="shared" si="0"/>
        <v>2.409274193548387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f>(909008+365526)/744000</f>
        <v>1.7130833333333333</v>
      </c>
      <c r="H24" s="36">
        <f t="shared" si="0"/>
        <v>4.5869166666666663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(133464+43785)/744000</f>
        <v>0.23823790322580646</v>
      </c>
      <c r="H25" s="19">
        <f t="shared" si="0"/>
        <v>6.061762096774193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f>2591550/744000</f>
        <v>3.4832661290322582</v>
      </c>
      <c r="H26" s="36">
        <f>F26/1000-G26</f>
        <v>12.516733870967741</v>
      </c>
      <c r="J26" s="1" t="s">
        <v>287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v>0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57">
        <f>29738/744000</f>
        <v>3.9970430107526884E-2</v>
      </c>
      <c r="H28" s="29">
        <f t="shared" si="0"/>
        <v>2.4600295698924732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57">
        <f>61188/744000</f>
        <v>8.2241935483870973E-2</v>
      </c>
      <c r="H29" s="29">
        <f t="shared" si="0"/>
        <v>2.417758064516129</v>
      </c>
      <c r="O29" s="1" t="s">
        <v>287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59">
        <f>(6365016+433230)/744000</f>
        <v>9.1374274193548395</v>
      </c>
      <c r="H30" s="36">
        <f>F30/1000-G30</f>
        <v>30.862572580645161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f>(708708+35640)/744000</f>
        <v>1.0004677419354839</v>
      </c>
      <c r="H31" s="36">
        <f>F31/1000-G31</f>
        <v>18.999532258064516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288</v>
      </c>
      <c r="E32" s="8" t="s">
        <v>28</v>
      </c>
      <c r="F32" s="10">
        <v>10000</v>
      </c>
      <c r="G32" s="158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1613484/744000</f>
        <v>2.1686612903225808</v>
      </c>
      <c r="H33" s="19">
        <f t="shared" si="0"/>
        <v>7.8313387096774196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57">
        <f>194472/744000</f>
        <v>0.26138709677419353</v>
      </c>
      <c r="H34" s="29">
        <f t="shared" si="0"/>
        <v>6.0386129032258067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4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1" t="s">
        <v>20</v>
      </c>
      <c r="E37" s="8" t="s">
        <v>26</v>
      </c>
      <c r="F37" s="10">
        <v>5600</v>
      </c>
      <c r="G37" s="159">
        <f>271200/744000</f>
        <v>0.36451612903225805</v>
      </c>
      <c r="H37" s="33">
        <f t="shared" si="0"/>
        <v>5.2354838709677418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v>0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57">
        <f>17444/744000</f>
        <v>2.3446236559139785E-2</v>
      </c>
      <c r="H39" s="29">
        <f t="shared" si="0"/>
        <v>0.60655376344086021</v>
      </c>
    </row>
    <row r="40" spans="1:8" x14ac:dyDescent="0.3">
      <c r="A40" s="8">
        <v>19</v>
      </c>
      <c r="B40" s="9" t="s">
        <v>51</v>
      </c>
      <c r="C40" s="10" t="s">
        <v>12</v>
      </c>
      <c r="D40" s="151" t="s">
        <v>20</v>
      </c>
      <c r="E40" s="8" t="s">
        <v>26</v>
      </c>
      <c r="F40" s="10">
        <v>2500</v>
      </c>
      <c r="G40" s="31">
        <f>3179/744000</f>
        <v>4.2728494623655916E-3</v>
      </c>
      <c r="H40" s="36">
        <f t="shared" si="0"/>
        <v>2.4957271505376344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v>0</v>
      </c>
      <c r="H41" s="19" t="s">
        <v>15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57">
        <f>74097/744000</f>
        <v>9.9592741935483869E-2</v>
      </c>
      <c r="H42" s="29">
        <f t="shared" si="0"/>
        <v>1.5004072580645162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57">
        <f>45611/744000</f>
        <v>6.1305107526881723E-2</v>
      </c>
      <c r="H43" s="29">
        <f t="shared" si="0"/>
        <v>6.2386948924731183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71316/744000</f>
        <v>9.5854838709677426E-2</v>
      </c>
      <c r="H44" s="31">
        <f>F44/1000-G44</f>
        <v>3.9041451612903226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59">
        <v>0</v>
      </c>
      <c r="H46" s="33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137052/744000</f>
        <v>0.18420967741935484</v>
      </c>
      <c r="H47" s="20">
        <f>F47/1000-G47</f>
        <v>3.8157903225806451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57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57">
        <f>57197/744000</f>
        <v>7.6877688172043004E-2</v>
      </c>
      <c r="H49" s="29">
        <f t="shared" si="0"/>
        <v>0.92312231182795701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57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201" t="s">
        <v>66</v>
      </c>
      <c r="B52" s="201"/>
      <c r="C52" s="201"/>
      <c r="D52" s="201"/>
      <c r="E52" s="201"/>
      <c r="F52" s="201"/>
      <c r="G52" s="201"/>
      <c r="H52" s="201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289</v>
      </c>
      <c r="H54" s="6" t="s">
        <v>10</v>
      </c>
    </row>
    <row r="55" spans="1:10" x14ac:dyDescent="0.3">
      <c r="A55" s="26"/>
      <c r="B55" s="148" t="s">
        <v>71</v>
      </c>
      <c r="C55" s="27"/>
      <c r="D55" s="24"/>
      <c r="E55" s="148"/>
      <c r="F55" s="24"/>
      <c r="G55" s="157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5">
        <f>6921952/744000</f>
        <v>9.303698924731183</v>
      </c>
      <c r="H56" s="40">
        <f t="shared" ref="H56:H108" si="1">F56-G56</f>
        <v>56.349801075268815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5">
        <f>3919091/744000</f>
        <v>5.2675954301075265</v>
      </c>
      <c r="H57" s="40">
        <f t="shared" si="1"/>
        <v>83.265154569892474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5">
        <f>2263895/744000</f>
        <v>3.0428696236559141</v>
      </c>
      <c r="H58" s="40">
        <f t="shared" si="1"/>
        <v>85.489880376344075</v>
      </c>
    </row>
    <row r="59" spans="1:10" x14ac:dyDescent="0.3">
      <c r="A59" s="12">
        <v>4</v>
      </c>
      <c r="B59" s="13" t="s">
        <v>75</v>
      </c>
      <c r="C59" s="43">
        <v>17.3</v>
      </c>
      <c r="D59" s="187" t="s">
        <v>302</v>
      </c>
      <c r="E59" s="14">
        <v>110</v>
      </c>
      <c r="F59" s="40">
        <f>1.73*115*445/1000</f>
        <v>88.532749999999993</v>
      </c>
      <c r="G59" s="155">
        <f>7811135/744000</f>
        <v>10.498837365591397</v>
      </c>
      <c r="H59" s="40">
        <f t="shared" si="1"/>
        <v>78.033912634408594</v>
      </c>
      <c r="J59" s="1" t="s">
        <v>287</v>
      </c>
    </row>
    <row r="60" spans="1:10" x14ac:dyDescent="0.3">
      <c r="A60" s="12">
        <v>5</v>
      </c>
      <c r="B60" s="13" t="s">
        <v>76</v>
      </c>
      <c r="C60" s="41">
        <v>17.3</v>
      </c>
      <c r="D60" s="187" t="s">
        <v>302</v>
      </c>
      <c r="E60" s="14">
        <v>110</v>
      </c>
      <c r="F60" s="40">
        <f>1.73*115*445/1000</f>
        <v>88.532749999999993</v>
      </c>
      <c r="G60" s="155">
        <f>2562417/744000</f>
        <v>3.4441088709677419</v>
      </c>
      <c r="H60" s="40">
        <f t="shared" si="1"/>
        <v>85.088641129032254</v>
      </c>
    </row>
    <row r="61" spans="1:10" x14ac:dyDescent="0.3">
      <c r="A61" s="12">
        <v>6</v>
      </c>
      <c r="B61" s="13" t="s">
        <v>77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5">
        <f>374414/744000</f>
        <v>0.50324462365591394</v>
      </c>
      <c r="H61" s="40">
        <f t="shared" si="1"/>
        <v>88.029505376344076</v>
      </c>
    </row>
    <row r="62" spans="1:10" x14ac:dyDescent="0.3">
      <c r="A62" s="12">
        <v>7</v>
      </c>
      <c r="B62" s="13" t="s">
        <v>78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5">
        <f>3959419/744000</f>
        <v>5.3217997311827956</v>
      </c>
      <c r="H62" s="40">
        <f t="shared" si="1"/>
        <v>70.279200268817206</v>
      </c>
    </row>
    <row r="63" spans="1:10" x14ac:dyDescent="0.3">
      <c r="A63" s="12">
        <v>8</v>
      </c>
      <c r="B63" s="13" t="s">
        <v>79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5">
        <f>13450124/744000</f>
        <v>18.078123655913977</v>
      </c>
      <c r="H63" s="40">
        <f t="shared" si="1"/>
        <v>83.386376344086017</v>
      </c>
    </row>
    <row r="64" spans="1:10" x14ac:dyDescent="0.3">
      <c r="A64" s="12">
        <v>9</v>
      </c>
      <c r="B64" s="13" t="s">
        <v>80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5">
        <f>4837336/744000</f>
        <v>6.501795698924731</v>
      </c>
      <c r="H64" s="72">
        <f t="shared" si="1"/>
        <v>94.962704301075263</v>
      </c>
    </row>
    <row r="65" spans="1:8" x14ac:dyDescent="0.3">
      <c r="A65" s="12">
        <v>10</v>
      </c>
      <c r="B65" s="13" t="s">
        <v>81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155">
        <f>827597/744000</f>
        <v>1.1123615591397849</v>
      </c>
      <c r="H65" s="72">
        <f t="shared" si="1"/>
        <v>74.488638440860214</v>
      </c>
    </row>
    <row r="66" spans="1:8" x14ac:dyDescent="0.3">
      <c r="A66" s="16">
        <v>11</v>
      </c>
      <c r="B66" s="17" t="s">
        <v>82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113162/744000</f>
        <v>0.15209946236559141</v>
      </c>
      <c r="H66" s="46">
        <f t="shared" si="1"/>
        <v>11.04965053763441</v>
      </c>
    </row>
    <row r="67" spans="1:8" x14ac:dyDescent="0.3">
      <c r="A67" s="26"/>
      <c r="B67" s="148" t="s">
        <v>83</v>
      </c>
      <c r="C67" s="47"/>
      <c r="D67" s="48"/>
      <c r="E67" s="148"/>
      <c r="F67" s="149"/>
      <c r="G67" s="157"/>
      <c r="H67" s="149"/>
    </row>
    <row r="68" spans="1:8" x14ac:dyDescent="0.3">
      <c r="A68" s="8">
        <v>12</v>
      </c>
      <c r="B68" s="9" t="s">
        <v>84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59">
        <f>1224494/744000</f>
        <v>1.6458252688172044</v>
      </c>
      <c r="H68" s="150">
        <f t="shared" si="1"/>
        <v>73.955174731182794</v>
      </c>
    </row>
    <row r="69" spans="1:8" x14ac:dyDescent="0.3">
      <c r="A69" s="12">
        <v>13</v>
      </c>
      <c r="B69" s="13" t="s">
        <v>85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55">
        <f>101537/744000</f>
        <v>0.13647446236559141</v>
      </c>
      <c r="H69" s="40">
        <f t="shared" si="1"/>
        <v>75.464525537634401</v>
      </c>
    </row>
    <row r="70" spans="1:8" x14ac:dyDescent="0.3">
      <c r="A70" s="16">
        <v>14</v>
      </c>
      <c r="B70" s="17" t="s">
        <v>86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20">
        <f>511807/744000</f>
        <v>0.68791263440860217</v>
      </c>
      <c r="H70" s="46">
        <f t="shared" si="1"/>
        <v>74.913087365591394</v>
      </c>
    </row>
    <row r="71" spans="1:8" x14ac:dyDescent="0.3">
      <c r="A71" s="26"/>
      <c r="B71" s="148" t="s">
        <v>87</v>
      </c>
      <c r="C71" s="50"/>
      <c r="D71" s="48"/>
      <c r="E71" s="148"/>
      <c r="F71" s="149"/>
      <c r="G71" s="157"/>
      <c r="H71" s="149"/>
    </row>
    <row r="72" spans="1:8" x14ac:dyDescent="0.3">
      <c r="A72" s="8">
        <v>15</v>
      </c>
      <c r="B72" s="9" t="s">
        <v>88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59">
        <f>7586608/744000</f>
        <v>10.197053763440859</v>
      </c>
      <c r="H72" s="54">
        <f t="shared" si="1"/>
        <v>91.267446236559138</v>
      </c>
    </row>
    <row r="73" spans="1:8" x14ac:dyDescent="0.3">
      <c r="A73" s="16">
        <v>16</v>
      </c>
      <c r="B73" s="17" t="s">
        <v>89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2290040/744000</f>
        <v>3.0780107526881721</v>
      </c>
      <c r="H73" s="46">
        <f t="shared" si="1"/>
        <v>13.884639247311828</v>
      </c>
    </row>
    <row r="74" spans="1:8" x14ac:dyDescent="0.3">
      <c r="A74" s="26"/>
      <c r="B74" s="148" t="s">
        <v>90</v>
      </c>
      <c r="C74" s="47"/>
      <c r="D74" s="48"/>
      <c r="E74" s="148"/>
      <c r="F74" s="149"/>
      <c r="G74" s="157"/>
      <c r="H74" s="149"/>
    </row>
    <row r="75" spans="1:8" x14ac:dyDescent="0.3">
      <c r="A75" s="8">
        <v>17</v>
      </c>
      <c r="B75" s="9" t="s">
        <v>91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4">
        <f>45472/744000</f>
        <v>6.1118279569892471E-2</v>
      </c>
      <c r="H75" s="39">
        <f t="shared" si="1"/>
        <v>21.062181720430111</v>
      </c>
    </row>
    <row r="76" spans="1:8" x14ac:dyDescent="0.3">
      <c r="A76" s="12">
        <v>18</v>
      </c>
      <c r="B76" s="13" t="s">
        <v>92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5">
        <f>1188754/744000</f>
        <v>1.5977876344086022</v>
      </c>
      <c r="H76" s="40">
        <f t="shared" si="1"/>
        <v>15.364862365591398</v>
      </c>
    </row>
    <row r="77" spans="1:8" x14ac:dyDescent="0.3">
      <c r="A77" s="12">
        <v>19</v>
      </c>
      <c r="B77" s="13" t="s">
        <v>93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v>0</v>
      </c>
      <c r="H77" s="72">
        <f t="shared" si="1"/>
        <v>16.96265</v>
      </c>
    </row>
    <row r="78" spans="1:8" x14ac:dyDescent="0.3">
      <c r="A78" s="12">
        <v>20</v>
      </c>
      <c r="B78" s="13" t="s">
        <v>94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155">
        <f>550/744000</f>
        <v>7.3924731182795696E-4</v>
      </c>
      <c r="H78" s="40">
        <f t="shared" si="1"/>
        <v>16.961910752688173</v>
      </c>
    </row>
    <row r="79" spans="1:8" x14ac:dyDescent="0.3">
      <c r="A79" s="16">
        <v>21</v>
      </c>
      <c r="B79" s="17" t="s">
        <v>95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56">
        <f>66580/744000</f>
        <v>8.948924731182796E-2</v>
      </c>
      <c r="H79" s="145">
        <f t="shared" si="1"/>
        <v>21.033810752688176</v>
      </c>
    </row>
    <row r="80" spans="1:8" x14ac:dyDescent="0.3">
      <c r="A80" s="26"/>
      <c r="B80" s="148" t="s">
        <v>96</v>
      </c>
      <c r="C80" s="50"/>
      <c r="D80" s="48"/>
      <c r="E80" s="148"/>
      <c r="F80" s="149"/>
      <c r="G80" s="157"/>
      <c r="H80" s="149"/>
    </row>
    <row r="81" spans="1:8" x14ac:dyDescent="0.3">
      <c r="A81" s="26">
        <v>22</v>
      </c>
      <c r="B81" s="27" t="s">
        <v>97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57">
        <v>0</v>
      </c>
      <c r="H81" s="53" t="s">
        <v>15</v>
      </c>
    </row>
    <row r="82" spans="1:8" hidden="1" x14ac:dyDescent="0.3">
      <c r="A82" s="26"/>
      <c r="B82" s="148" t="s">
        <v>98</v>
      </c>
      <c r="C82" s="50"/>
      <c r="D82" s="48"/>
      <c r="E82" s="148"/>
      <c r="F82" s="149"/>
      <c r="G82" s="157"/>
      <c r="H82" s="149"/>
    </row>
    <row r="83" spans="1:8" hidden="1" x14ac:dyDescent="0.3">
      <c r="A83" s="26">
        <v>23</v>
      </c>
      <c r="B83" s="27" t="s">
        <v>99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57">
        <v>0</v>
      </c>
      <c r="H83" s="53" t="s">
        <v>15</v>
      </c>
    </row>
    <row r="84" spans="1:8" x14ac:dyDescent="0.3">
      <c r="A84" s="26"/>
      <c r="B84" s="148" t="s">
        <v>100</v>
      </c>
      <c r="C84" s="50"/>
      <c r="D84" s="48"/>
      <c r="E84" s="148"/>
      <c r="F84" s="149"/>
      <c r="G84" s="157"/>
      <c r="H84" s="149"/>
    </row>
    <row r="85" spans="1:8" x14ac:dyDescent="0.3">
      <c r="A85" s="8">
        <v>24</v>
      </c>
      <c r="B85" s="9" t="s">
        <v>85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59">
        <f>28936/744000</f>
        <v>3.889247311827957E-2</v>
      </c>
      <c r="H85" s="40">
        <f t="shared" si="1"/>
        <v>75.562107526881718</v>
      </c>
    </row>
    <row r="86" spans="1:8" x14ac:dyDescent="0.3">
      <c r="A86" s="12">
        <v>25</v>
      </c>
      <c r="B86" s="13" t="s">
        <v>101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5">
        <f>287760/744000</f>
        <v>0.3867741935483871</v>
      </c>
      <c r="H86" s="40">
        <f t="shared" si="1"/>
        <v>101.07772580645161</v>
      </c>
    </row>
    <row r="87" spans="1:8" x14ac:dyDescent="0.3">
      <c r="A87" s="16">
        <v>26</v>
      </c>
      <c r="B87" s="17" t="s">
        <v>102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1569855/744000</f>
        <v>2.1100201612903224</v>
      </c>
      <c r="H87" s="46">
        <f t="shared" si="1"/>
        <v>11.332079838709678</v>
      </c>
    </row>
    <row r="88" spans="1:8" x14ac:dyDescent="0.3">
      <c r="A88" s="26"/>
      <c r="B88" s="148" t="s">
        <v>103</v>
      </c>
      <c r="C88" s="47"/>
      <c r="D88" s="48"/>
      <c r="E88" s="148"/>
      <c r="F88" s="149"/>
      <c r="G88" s="157"/>
      <c r="H88" s="149"/>
    </row>
    <row r="89" spans="1:8" x14ac:dyDescent="0.3">
      <c r="A89" s="8">
        <v>27</v>
      </c>
      <c r="B89" s="9" t="s">
        <v>104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59">
        <f>1286912/744000</f>
        <v>1.7297204301075269</v>
      </c>
      <c r="H89" s="54">
        <f>F89-G89</f>
        <v>73.871279569892465</v>
      </c>
    </row>
    <row r="90" spans="1:8" x14ac:dyDescent="0.3">
      <c r="A90" s="16">
        <v>28</v>
      </c>
      <c r="B90" s="17" t="s">
        <v>105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f>1153299/744000</f>
        <v>1.5501330645161291</v>
      </c>
      <c r="H90" s="186" t="s">
        <v>15</v>
      </c>
    </row>
    <row r="91" spans="1:8" x14ac:dyDescent="0.3">
      <c r="A91" s="26"/>
      <c r="B91" s="148" t="s">
        <v>106</v>
      </c>
      <c r="C91" s="50"/>
      <c r="D91" s="48"/>
      <c r="E91" s="148"/>
      <c r="F91" s="149"/>
      <c r="G91" s="157"/>
      <c r="H91" s="149"/>
    </row>
    <row r="92" spans="1:8" x14ac:dyDescent="0.3">
      <c r="A92" s="26">
        <v>29</v>
      </c>
      <c r="B92" s="27" t="s">
        <v>107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57">
        <f>110519/744000</f>
        <v>0.14854704301075269</v>
      </c>
      <c r="H92" s="52">
        <f t="shared" si="1"/>
        <v>16.814102956989249</v>
      </c>
    </row>
    <row r="93" spans="1:8" x14ac:dyDescent="0.3">
      <c r="A93" s="26"/>
      <c r="B93" s="148" t="s">
        <v>108</v>
      </c>
      <c r="C93" s="50"/>
      <c r="D93" s="48"/>
      <c r="E93" s="148"/>
      <c r="F93" s="149"/>
      <c r="G93" s="157"/>
      <c r="H93" s="149"/>
    </row>
    <row r="94" spans="1:8" x14ac:dyDescent="0.3">
      <c r="A94" s="26">
        <v>30</v>
      </c>
      <c r="B94" s="27" t="s">
        <v>109</v>
      </c>
      <c r="C94" s="47">
        <v>65</v>
      </c>
      <c r="D94" s="188" t="s">
        <v>110</v>
      </c>
      <c r="E94" s="24">
        <v>35</v>
      </c>
      <c r="F94" s="52">
        <f>1.73*37*265/1000</f>
        <v>16.96265</v>
      </c>
      <c r="G94" s="157">
        <f>1495620/744000</f>
        <v>2.010241935483871</v>
      </c>
      <c r="H94" s="52">
        <f t="shared" si="1"/>
        <v>14.952408064516129</v>
      </c>
    </row>
    <row r="95" spans="1:8" x14ac:dyDescent="0.3">
      <c r="A95" s="26"/>
      <c r="B95" s="148" t="s">
        <v>111</v>
      </c>
      <c r="C95" s="47"/>
      <c r="D95" s="48"/>
      <c r="E95" s="148"/>
      <c r="F95" s="149"/>
      <c r="G95" s="157"/>
      <c r="H95" s="149"/>
    </row>
    <row r="96" spans="1:8" x14ac:dyDescent="0.3">
      <c r="A96" s="8">
        <v>31</v>
      </c>
      <c r="B96" s="9" t="s">
        <v>112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4">
        <f>3795/744000</f>
        <v>5.1008064516129036E-3</v>
      </c>
      <c r="H96" s="39">
        <f t="shared" si="1"/>
        <v>16.957549193548388</v>
      </c>
    </row>
    <row r="97" spans="1:8" x14ac:dyDescent="0.3">
      <c r="A97" s="16">
        <v>32</v>
      </c>
      <c r="B97" s="17" t="s">
        <v>113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74097/744000</f>
        <v>9.9592741935483869E-2</v>
      </c>
      <c r="H97" s="46">
        <f t="shared" si="1"/>
        <v>21.023707258064519</v>
      </c>
    </row>
    <row r="98" spans="1:8" x14ac:dyDescent="0.3">
      <c r="A98" s="26"/>
      <c r="B98" s="148" t="s">
        <v>114</v>
      </c>
      <c r="C98" s="57"/>
      <c r="D98" s="58"/>
      <c r="E98" s="148"/>
      <c r="F98" s="149"/>
      <c r="G98" s="157"/>
      <c r="H98" s="149"/>
    </row>
    <row r="99" spans="1:8" x14ac:dyDescent="0.3">
      <c r="A99" s="26">
        <v>33</v>
      </c>
      <c r="B99" s="27" t="s">
        <v>115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57">
        <f>17444/744000</f>
        <v>2.3446236559139785E-2</v>
      </c>
      <c r="H99" s="52">
        <f t="shared" si="1"/>
        <v>16.939203763440862</v>
      </c>
    </row>
    <row r="100" spans="1:8" x14ac:dyDescent="0.3">
      <c r="A100" s="26"/>
      <c r="B100" s="148" t="s">
        <v>116</v>
      </c>
      <c r="C100" s="57"/>
      <c r="D100" s="58"/>
      <c r="E100" s="148"/>
      <c r="F100" s="149"/>
      <c r="G100" s="157"/>
      <c r="H100" s="149"/>
    </row>
    <row r="101" spans="1:8" x14ac:dyDescent="0.3">
      <c r="A101" s="26">
        <v>34</v>
      </c>
      <c r="B101" s="27" t="s">
        <v>117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57">
        <f>107570/744000</f>
        <v>0.14458333333333334</v>
      </c>
      <c r="H101" s="52">
        <f t="shared" si="1"/>
        <v>20.978716666666671</v>
      </c>
    </row>
    <row r="102" spans="1:8" x14ac:dyDescent="0.3">
      <c r="A102" s="26"/>
      <c r="B102" s="148" t="s">
        <v>118</v>
      </c>
      <c r="C102" s="57"/>
      <c r="D102" s="58"/>
      <c r="E102" s="148"/>
      <c r="F102" s="149"/>
      <c r="G102" s="157"/>
      <c r="H102" s="149"/>
    </row>
    <row r="103" spans="1:8" x14ac:dyDescent="0.3">
      <c r="A103" s="8">
        <v>35</v>
      </c>
      <c r="B103" s="9" t="s">
        <v>119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4">
        <f>47488/744000</f>
        <v>6.3827956989247314E-2</v>
      </c>
      <c r="H103" s="39">
        <f t="shared" si="1"/>
        <v>16.898822043010753</v>
      </c>
    </row>
    <row r="104" spans="1:8" x14ac:dyDescent="0.3">
      <c r="A104" s="12">
        <v>36</v>
      </c>
      <c r="B104" s="13" t="s">
        <v>120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5">
        <f>277606/744000</f>
        <v>0.37312634408602152</v>
      </c>
      <c r="H104" s="72">
        <f t="shared" si="1"/>
        <v>16.589523655913979</v>
      </c>
    </row>
    <row r="105" spans="1:8" x14ac:dyDescent="0.3">
      <c r="A105" s="16">
        <v>37</v>
      </c>
      <c r="B105" s="17" t="s">
        <v>121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5">
        <f>878598/744000</f>
        <v>1.1809112903225807</v>
      </c>
      <c r="H105" s="72">
        <f t="shared" si="1"/>
        <v>15.78173870967742</v>
      </c>
    </row>
    <row r="106" spans="1:8" x14ac:dyDescent="0.3">
      <c r="A106" s="26"/>
      <c r="B106" s="148" t="s">
        <v>122</v>
      </c>
      <c r="C106" s="57"/>
      <c r="D106" s="58"/>
      <c r="E106" s="148"/>
      <c r="F106" s="149"/>
      <c r="G106" s="157"/>
      <c r="H106" s="149"/>
    </row>
    <row r="107" spans="1:8" x14ac:dyDescent="0.3">
      <c r="A107" s="8">
        <v>38</v>
      </c>
      <c r="B107" s="9" t="s">
        <v>123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4">
        <f>178521/744000</f>
        <v>0.23994758064516128</v>
      </c>
      <c r="H107" s="39">
        <f t="shared" si="1"/>
        <v>16.722702419354839</v>
      </c>
    </row>
    <row r="108" spans="1:8" x14ac:dyDescent="0.3">
      <c r="A108" s="16">
        <v>39</v>
      </c>
      <c r="B108" s="17" t="s">
        <v>124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153006/744000</f>
        <v>0.20565322580645162</v>
      </c>
      <c r="H108" s="46">
        <f t="shared" si="1"/>
        <v>24.118146774193551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январь 2025г.</vt:lpstr>
      <vt:lpstr>БЭУ за январь 2025г.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2025-02-13T11:34:29Z</dcterms:modified>
</cp:coreProperties>
</file>